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630" windowWidth="11025" windowHeight="6090" firstSheet="1" activeTab="1"/>
  </bookViews>
  <sheets>
    <sheet name="Прил.1_к поясн." sheetId="1" state="hidden" r:id="rId1"/>
    <sheet name="Приложение 4" sheetId="2" r:id="rId2"/>
  </sheets>
  <definedNames>
    <definedName name="_xlnm.Print_Titles" localSheetId="1">'Приложение 4'!$11:$11</definedName>
    <definedName name="_xlnm.Print_Area" localSheetId="1">'Приложение 4'!$G$3:$P$786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<sst xmlns="http://schemas.openxmlformats.org/spreadsheetml/2006/main" count="1430" uniqueCount="880">
  <si>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</si>
  <si>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</si>
  <si>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</si>
  <si>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</si>
  <si>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</si>
  <si>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</si>
  <si>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</si>
  <si>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Непрограммные расходы</t>
  </si>
  <si>
    <t>5000000</t>
  </si>
  <si>
    <t>3617300</t>
  </si>
  <si>
    <t>3610000</t>
  </si>
  <si>
    <t>3600000</t>
  </si>
  <si>
    <t>Субсидия на мероприятия по строительству и (или) реконструкции объектов газификации в сельской местности за счет средств областного бюджета</t>
  </si>
  <si>
    <t>2517260</t>
  </si>
  <si>
    <t>2510000</t>
  </si>
  <si>
    <t>2500000</t>
  </si>
  <si>
    <t>2437256</t>
  </si>
  <si>
    <t>2437255</t>
  </si>
  <si>
    <t>Капитальные вложения в объекты недвижимого имущества государственной (муниципальной) собственности</t>
  </si>
  <si>
    <t>2417244</t>
  </si>
  <si>
    <t>2417242</t>
  </si>
  <si>
    <t>2410000</t>
  </si>
  <si>
    <t>2400000</t>
  </si>
  <si>
    <t>2337235</t>
  </si>
  <si>
    <t>2330000</t>
  </si>
  <si>
    <t>2300000</t>
  </si>
  <si>
    <t>2157227</t>
  </si>
  <si>
    <t>2150000</t>
  </si>
  <si>
    <t>2147226</t>
  </si>
  <si>
    <t>2140000</t>
  </si>
  <si>
    <t>2100000</t>
  </si>
  <si>
    <t>1517008</t>
  </si>
  <si>
    <t>1510000</t>
  </si>
  <si>
    <t>1500000</t>
  </si>
  <si>
    <t>1410000</t>
  </si>
  <si>
    <t>1400000</t>
  </si>
  <si>
    <t>1327195</t>
  </si>
  <si>
    <t>1317188</t>
  </si>
  <si>
    <t>1310000</t>
  </si>
  <si>
    <t>1300000</t>
  </si>
  <si>
    <t>1130000</t>
  </si>
  <si>
    <t>1117281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</si>
  <si>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</si>
  <si>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</si>
  <si>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</si>
  <si>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</si>
  <si>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</si>
  <si>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</si>
  <si>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</si>
  <si>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</si>
  <si>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1100000</t>
  </si>
  <si>
    <t>1017144</t>
  </si>
  <si>
    <t>1010000</t>
  </si>
  <si>
    <t>1000000</t>
  </si>
  <si>
    <t>0810000</t>
  </si>
  <si>
    <t>0800000</t>
  </si>
  <si>
    <t>04.0.0000</t>
  </si>
  <si>
    <t>03.2.7093</t>
  </si>
  <si>
    <t>03.2.7092</t>
  </si>
  <si>
    <t>0327092</t>
  </si>
  <si>
    <t>0320000</t>
  </si>
  <si>
    <t>0317304</t>
  </si>
  <si>
    <t>03.1.7089</t>
  </si>
  <si>
    <t>0317089</t>
  </si>
  <si>
    <t>0317086</t>
  </si>
  <si>
    <t>0317085</t>
  </si>
  <si>
    <t>0317084</t>
  </si>
  <si>
    <t>0317075</t>
  </si>
  <si>
    <t>0317074</t>
  </si>
  <si>
    <t>0315385</t>
  </si>
  <si>
    <t>0315381</t>
  </si>
  <si>
    <t>0315270</t>
  </si>
  <si>
    <t>0315250</t>
  </si>
  <si>
    <t>0315220</t>
  </si>
  <si>
    <t>0250000</t>
  </si>
  <si>
    <t>02.1.7323</t>
  </si>
  <si>
    <t>0217323</t>
  </si>
  <si>
    <t>0217053</t>
  </si>
  <si>
    <t>0217051</t>
  </si>
  <si>
    <t>0217050</t>
  </si>
  <si>
    <t>0217049</t>
  </si>
  <si>
    <t>02.1.7047</t>
  </si>
  <si>
    <t>0217047</t>
  </si>
  <si>
    <t>0217046</t>
  </si>
  <si>
    <t>0217043</t>
  </si>
  <si>
    <t>0210000</t>
  </si>
  <si>
    <t>0200000</t>
  </si>
  <si>
    <t>Вид расходов</t>
  </si>
  <si>
    <t>Код целевой классификации</t>
  </si>
  <si>
    <t>Наименование</t>
  </si>
  <si>
    <t>2014 год                    (руб.)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</si>
  <si>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</si>
  <si>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</si>
  <si>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прочих учреждений в сфере  образования</t>
  </si>
  <si>
    <t>Поддержка материально-технической базы образовательных учреждений района</t>
  </si>
  <si>
    <t>02.1.6005</t>
  </si>
  <si>
    <t>Расходы на выплату ежемесячного денежного вознаграждения за класссное руководство за счет средств федерального бюджета</t>
  </si>
  <si>
    <t>Ежегодное единовременное вознаграждение Почетным гражданам Первомайского муниципального района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</si>
  <si>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</si>
  <si>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</si>
  <si>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 xml:space="preserve">Обеспечение деятельности учреждений, подведомственных учредителю в библиотечной сфере </t>
  </si>
  <si>
    <t xml:space="preserve">Обеспечение деятельности прочих учреждений </t>
  </si>
  <si>
    <t>11.2.0000</t>
  </si>
  <si>
    <t>11.2.6125</t>
  </si>
  <si>
    <t>11.4.6136</t>
  </si>
  <si>
    <t>Обслуживание муниципального долга</t>
  </si>
  <si>
    <t>Процентные платежи по муниципальному долгу муниципального района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</si>
  <si>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</si>
  <si>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</si>
  <si>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</si>
  <si>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</si>
  <si>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04.1.0000</t>
  </si>
  <si>
    <t xml:space="preserve"> Мероприятия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</si>
  <si>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реализацию мероприятий патриотического воспитания молодежи Ярославской области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</si>
  <si>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</si>
  <si>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</si>
  <si>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</si>
  <si>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</si>
  <si>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</si>
  <si>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</si>
  <si>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</si>
  <si>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Мероприятия  в части профилактики злоупотребления наркотическими средствами в молодежной среде</t>
  </si>
  <si>
    <t>99.0.7260</t>
  </si>
  <si>
    <t>04.1.6066</t>
  </si>
  <si>
    <t>Расходы на финансирование дорожного хозяйства</t>
  </si>
  <si>
    <t>Предоставление гражданам субсидий на оплату жилого помещения и коммунальных услуг</t>
  </si>
  <si>
    <t xml:space="preserve">Выплата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</si>
  <si>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Содержание ребенка в семье опекуна и приемной семье, а также вознаграждение, причитающееся приемному родителю</t>
  </si>
  <si>
    <t>Государственная поддержка материально-технической базы образовательных учреждений Ярославской области</t>
  </si>
  <si>
    <t xml:space="preserve"> Организация присмотра и ухода за детьми в образовательных организациях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</si>
  <si>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</si>
  <si>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</si>
  <si>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</si>
  <si>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</si>
  <si>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</si>
  <si>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</si>
  <si>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 xml:space="preserve"> Оказание социальной помощи отдельным категориям граждан</t>
  </si>
  <si>
    <t>Социальная поддержка отдельных категорий граждан в части ежемесячного пособия на ребенка</t>
  </si>
  <si>
    <t xml:space="preserve">Расходы на повышение социальной активности пожилых людей в части организации культурных программ
</t>
  </si>
  <si>
    <t xml:space="preserve">Расходы на укрепление социальной защищенности пожилых людей
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</si>
  <si>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</si>
  <si>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 оздоровление и отдых детей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</si>
  <si>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</si>
  <si>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Расходы на укрепление института семьи, повышение качества жизни  семей с несовершеннолетними детьми</t>
  </si>
  <si>
    <t>Реализация мероприятий по строительству и реконструкции спортивных объектов за счет средств областного бюджета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</si>
  <si>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</si>
  <si>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</si>
  <si>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</si>
  <si>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>Межбюджетные трансферты, передаваемые бюджетам поселений на содержание дорог по соглашению</t>
  </si>
  <si>
    <t>Расходы  на оказание (выполнение) муниципальными учреждениями услуг (работ) в сфере молодежной политики</t>
  </si>
  <si>
    <t>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</si>
  <si>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Организация образовательного процесса в дошкольных образовательных организациях</t>
  </si>
  <si>
    <t>Приложение 1</t>
  </si>
  <si>
    <t xml:space="preserve"> </t>
  </si>
  <si>
    <t>к пояснительной записке</t>
  </si>
  <si>
    <t>к проекту решения Собрания Представителей</t>
  </si>
  <si>
    <t>Первомайского муниципального района</t>
  </si>
  <si>
    <t xml:space="preserve">от        .      . 2013 года №      </t>
  </si>
  <si>
    <t>Расходы бюджета Первомайского муниципального райолна на 2014 год по разделам и подразделам классификации расходов бюджетов Российской Федерации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</si>
  <si>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</si>
  <si>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</si>
  <si>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</si>
  <si>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</si>
  <si>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</si>
  <si>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</si>
  <si>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</si>
  <si>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</si>
  <si>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</si>
  <si>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</si>
  <si>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</si>
  <si>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</si>
  <si>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</si>
  <si>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</si>
  <si>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</si>
  <si>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</si>
  <si>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</si>
  <si>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</si>
  <si>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</si>
  <si>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</si>
  <si>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</si>
  <si>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</si>
  <si>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</si>
  <si>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</si>
  <si>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</si>
  <si>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</si>
  <si>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</si>
  <si>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</si>
  <si>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</si>
  <si>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</si>
  <si>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</si>
  <si>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</si>
  <si>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</si>
  <si>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</si>
  <si>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</si>
  <si>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</si>
  <si>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</si>
  <si>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</si>
  <si>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</si>
  <si>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</si>
  <si>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</si>
  <si>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</si>
  <si>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</si>
  <si>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</si>
  <si>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</si>
  <si>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</si>
  <si>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</si>
  <si>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</si>
  <si>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</si>
  <si>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</si>
  <si>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</si>
  <si>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</si>
  <si>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</si>
  <si>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</si>
  <si>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</si>
  <si>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</si>
  <si>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</si>
  <si>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</si>
  <si>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</si>
  <si>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</si>
  <si>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</si>
  <si>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</si>
  <si>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</si>
  <si>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</si>
  <si>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</si>
  <si>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</si>
  <si>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</si>
  <si>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</si>
  <si>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</si>
  <si>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</si>
  <si>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</si>
  <si>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</si>
  <si>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02.1.5260</t>
  </si>
  <si>
    <t>Прочая закупка товаров, работ и услуг для государственных (муниципальных) нужд</t>
  </si>
  <si>
    <t>03.2.7089</t>
  </si>
  <si>
    <t>30.0.0000</t>
  </si>
  <si>
    <t>30.1.0000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</si>
  <si>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районе" на 2014-2016 годы</t>
  </si>
  <si>
    <t>21.4.6178</t>
  </si>
  <si>
    <t>21.4.0000</t>
  </si>
  <si>
    <t>Реализация мероприятий подпрограммы "Развитие правовой грамотности и правосознания граждан на территории Первомайского муниципального района на 2014 год"</t>
  </si>
  <si>
    <t>Подпрограмма "Развитие правовой грамотности и правосознания граждан на территории Первомайского муниципального района на 2014 год"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</si>
  <si>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</si>
  <si>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>Муниципальная программа "Энергосбережение и повышение энергоэффективности в Первомайском муниципальном районе" на 2014-2016 годы</t>
  </si>
  <si>
    <t xml:space="preserve">Мероприятия по повышению энергоэффективности в  муниципальных образованиях области за счет средств областного бюджета 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</si>
  <si>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федерального бюджета</t>
  </si>
  <si>
    <t>13.1.7195</t>
  </si>
  <si>
    <t>30.1.7294</t>
  </si>
  <si>
    <t>03.1.5084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</si>
  <si>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</si>
  <si>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Расходы на предоставление субсидий хозяйствующим субъектам, обслуживающим столовые общеобразовательных школ муниципального района</t>
  </si>
  <si>
    <t xml:space="preserve">Субсидия хозяйствующим субъектам, обслуживающим столовые общеобразовательных школ муниципального района
</t>
  </si>
  <si>
    <t>11.1.7067</t>
  </si>
  <si>
    <t>Расходы на оплату труда работников сферы образования</t>
  </si>
  <si>
    <t>Расходы на капитальный ремонт зданий, возвращенных системе образования, и функционирующих дошкольных и общеобразовательных организаций</t>
  </si>
  <si>
    <t>06.1.5065</t>
  </si>
  <si>
    <t>Расходы на оплату труда работников сферы молодежной политики</t>
  </si>
  <si>
    <t>11.1.7170</t>
  </si>
  <si>
    <t>Расходы на оплату труда работников сферы культуры</t>
  </si>
  <si>
    <t>13.1.7326</t>
  </si>
  <si>
    <t>Реализация мероприятий по строительству и реконструкции спортивных объектов за счет прочей дотации</t>
  </si>
  <si>
    <t>17.1.7288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</si>
  <si>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</si>
  <si>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17.1.7287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</si>
  <si>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</si>
  <si>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02.1.7048</t>
  </si>
  <si>
    <t>02.1.7056</t>
  </si>
  <si>
    <t>06.1.7099</t>
  </si>
  <si>
    <t>36.2.0000</t>
  </si>
  <si>
    <t>36.2.6211</t>
  </si>
  <si>
    <t>36.3.7300</t>
  </si>
  <si>
    <t>36.3.0000</t>
  </si>
  <si>
    <t>Обслуживание муниципального долга Первомайского муниципального района  и планирование административных расходов по управлению муниципальным долгом Первомайского муниципального района</t>
  </si>
  <si>
    <t>Реализация отдельных мероприятий в сфере управления муниципальными финансами Первомайского муниципального района</t>
  </si>
  <si>
    <t>Мероприятия по реализации муниципальной  программы "Доступная среда в Первомайском муниципальном районе на 2014-2015 годы"</t>
  </si>
  <si>
    <t>21. 1. 7328</t>
  </si>
  <si>
    <t>Расходы на реализацию программ развития муниципальной службы в Ярославской области</t>
  </si>
  <si>
    <t>Мероприятия по повышению энергоэффективности за счет средств федерального бюджета</t>
  </si>
  <si>
    <t>21.5.7229</t>
  </si>
  <si>
    <t>Реализация мероприятий областной целевой программы "Развитие органов местного самоуправления на территории Ярославской области"</t>
  </si>
  <si>
    <t xml:space="preserve">  </t>
  </si>
  <si>
    <t>21.5.0000</t>
  </si>
  <si>
    <t>21.5.6179</t>
  </si>
  <si>
    <t>Подпрограмма "Развитие органов местного самоуправления на территории Первомайского муниципального района на 2014-2015 годы"</t>
  </si>
  <si>
    <t>Реализация мероприятий подпрограммы "Развитие органов местного самоуправления на территории Первомайского муниципального района на 2014-2015 годы"</t>
  </si>
  <si>
    <t>30.1.5013</t>
  </si>
  <si>
    <t>Расходы на финансовое обеспечение организации видеонаблюдения и видеозаписи при проведении ГИА по образовательным прграммам среднего общего образования</t>
  </si>
  <si>
    <t>02.1.7408</t>
  </si>
  <si>
    <t>04.1.5027</t>
  </si>
  <si>
    <t>Мероприятия по реализации региональной программы "Доступная среда" в целях обеспечения доступности  для инвалидов за счет средств федерального бюджета</t>
  </si>
  <si>
    <t>04.1.7413</t>
  </si>
  <si>
    <t>Субсидия на оборудование социально-значимых объектов в целях обеспечения доступности для инвалидов за счет средств областного бюджета</t>
  </si>
  <si>
    <t>04.1.7085</t>
  </si>
  <si>
    <t>Расходы на предоставление субсидий муниципальному бюджетному учреждению социального обслуживания населения на иные цели в части обеспечения доступности объектов и услуг для инвалидов за счет средств областного бюджета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</si>
  <si>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</si>
  <si>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21.5.7228</t>
  </si>
  <si>
    <t>Реализация мероприятий ОЦП "Развитие органов местного самоуправления на территории Ярославской области"за счет субсидии на развитие органов местного самоуправления</t>
  </si>
  <si>
    <t>30.1.6196</t>
  </si>
  <si>
    <t>Мероприятия по повышению энергоэффективности за счет средств бюджета муниципального района</t>
  </si>
  <si>
    <t>21.4.7239</t>
  </si>
  <si>
    <t>Расходы на оказание поддержки пунктам оказания бесплатной юридической помощи</t>
  </si>
  <si>
    <t>Подпрограмма "Развитие туризма и сервиса в Первомайском муниципальном районе Ярославской области на 2015-2017 г.г."</t>
  </si>
  <si>
    <t>Реализация мероприятий Подпрограммы "Развитие туризма и сервиса в Первомайском муниципальном районе Ярославской области на 2015-2017 г.г."</t>
  </si>
  <si>
    <t>11.1.5144</t>
  </si>
  <si>
    <t>Расходы на комплектование книжных фондов библиотек муниципальных образований</t>
  </si>
  <si>
    <t>02.2.0000</t>
  </si>
  <si>
    <t>02.2.6025</t>
  </si>
  <si>
    <t>Муниципальная программа "Доступная среда в Первомайском муниципальном районе на 2015 год"</t>
  </si>
  <si>
    <t>Общепрограммные расходы муниципальной программы «Доступная среда в Первомайском муниципальном районе на 2015 год"</t>
  </si>
  <si>
    <t>02.0.00.00000</t>
  </si>
  <si>
    <t>02.1.00.00000</t>
  </si>
  <si>
    <t>02.1.01.00000</t>
  </si>
  <si>
    <t>02.1.01.60010</t>
  </si>
  <si>
    <t>02.1.01.60020</t>
  </si>
  <si>
    <t>02.1.01.60030</t>
  </si>
  <si>
    <t>02.1.01.60040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</si>
  <si>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</si>
  <si>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</si>
  <si>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02.1.02.52600</t>
  </si>
  <si>
    <t>02.1.02.70430</t>
  </si>
  <si>
    <t>02.1.02.70460</t>
  </si>
  <si>
    <t>02.1.02.70490</t>
  </si>
  <si>
    <t>02.1.02.70500</t>
  </si>
  <si>
    <t>02.1.02.70510</t>
  </si>
  <si>
    <t>02.1.02.70530</t>
  </si>
  <si>
    <t>03.0.00.00000</t>
  </si>
  <si>
    <t>03.1.00.00000</t>
  </si>
  <si>
    <t>03.1.01.00000</t>
  </si>
  <si>
    <t>03.1.01.51370</t>
  </si>
  <si>
    <t>03.1.01.52200</t>
  </si>
  <si>
    <t>03.1.01.52500</t>
  </si>
  <si>
    <t>03.1.01.52700</t>
  </si>
  <si>
    <t>03.1.01.60300</t>
  </si>
  <si>
    <t>03.1.01.60310</t>
  </si>
  <si>
    <t>03.1.01.70740</t>
  </si>
  <si>
    <t>03.1.01.70750</t>
  </si>
  <si>
    <t>03.1.01.70840</t>
  </si>
  <si>
    <t>03.1.01.70860</t>
  </si>
  <si>
    <t>03.1.01.73040</t>
  </si>
  <si>
    <t>03.1.02.00000</t>
  </si>
  <si>
    <t>03.1.02.70890</t>
  </si>
  <si>
    <t>Социальная защита семей с детьми, инвалидов, ветеранов, граждан и детей, оказавшихся в трудной жизненной ситуации</t>
  </si>
  <si>
    <t>03.2.00.00000</t>
  </si>
  <si>
    <t>03.2.01.00000</t>
  </si>
  <si>
    <t>03.2.01.60320</t>
  </si>
  <si>
    <t>03.2.02.00000</t>
  </si>
  <si>
    <t>03.2.02.70850</t>
  </si>
  <si>
    <t>Предоставление социальных услуг населению Первомайского района</t>
  </si>
  <si>
    <t>03.3.00.00000</t>
  </si>
  <si>
    <t>03.3.01.00000</t>
  </si>
  <si>
    <t>Содействие организации безопасных условий трудовой деятельности и охраны труда, развитию социального партнерства</t>
  </si>
  <si>
    <t>03.3.01.60650</t>
  </si>
  <si>
    <t>06.0.00.00000</t>
  </si>
  <si>
    <t>06.1.00.00000</t>
  </si>
  <si>
    <t>06.1.01.00000</t>
  </si>
  <si>
    <t>06.1.01.60400</t>
  </si>
  <si>
    <t>06.1.01.71000</t>
  </si>
  <si>
    <t>07.0.00.00000</t>
  </si>
  <si>
    <t>07.1.00.00000</t>
  </si>
  <si>
    <t>07.1.01.00000</t>
  </si>
  <si>
    <t>Реализация семейной политики и политики в интересах детей на территории Первомайского района</t>
  </si>
  <si>
    <t>07.1.01.60450</t>
  </si>
  <si>
    <t>07.1.01.70970</t>
  </si>
  <si>
    <t>08.0.00.00000</t>
  </si>
  <si>
    <t>08.1.00.00000</t>
  </si>
  <si>
    <t>08.1.01.00000</t>
  </si>
  <si>
    <t>Развитие и обеспечение функционирования системы профилактики безнадзорности, правонарушений несовершеннолетних</t>
  </si>
  <si>
    <t>08.1.01.60700</t>
  </si>
  <si>
    <t>08.3.00.00000</t>
  </si>
  <si>
    <t>10.0.00.00000</t>
  </si>
  <si>
    <t>10.1.00.00000</t>
  </si>
  <si>
    <t>11.0.00.00000</t>
  </si>
  <si>
    <t>11.1.00.00000</t>
  </si>
  <si>
    <t>11.1.01.00000</t>
  </si>
  <si>
    <t>11.1.01.61010</t>
  </si>
  <si>
    <t>11.1.01.61020</t>
  </si>
  <si>
    <t>11.1.01.61030</t>
  </si>
  <si>
    <t>11.1.01.61050</t>
  </si>
  <si>
    <t>11.1.01.70650</t>
  </si>
  <si>
    <t>Организация предоставления муниципальных услуг и выполнения работ подведомственными муниципальными учреждениями</t>
  </si>
  <si>
    <t>Обеспечение качества и доступности образовательных услуг</t>
  </si>
  <si>
    <t>02.1.01.60260</t>
  </si>
  <si>
    <t>Расходы на проведение районных мероприятий в муниципальных образовательных организациях</t>
  </si>
  <si>
    <t>Исполнение публичных обязательств района по переданным полномочиям Российской Федерации и Ярославской области по предоставлению выплат, пособий и компенсаций</t>
  </si>
  <si>
    <t>11.2.00.00000</t>
  </si>
  <si>
    <t>11.2.01.00000</t>
  </si>
  <si>
    <t>11.2.01.61300</t>
  </si>
  <si>
    <t>11.2.01.70660</t>
  </si>
  <si>
    <t>Проведение организационных и информационных мероприятий по патриотическому воспитанию в Первомайском районе</t>
  </si>
  <si>
    <t>11.3.00.00000</t>
  </si>
  <si>
    <t>11.3.01.00000</t>
  </si>
  <si>
    <t>Обеспечение условий для реализации творческого, научного, интеллектуального потенциала молодежи Первомайского района</t>
  </si>
  <si>
    <t>11.3.01.61350</t>
  </si>
  <si>
    <t>13.0.00.00000</t>
  </si>
  <si>
    <t>13.1.00.00000</t>
  </si>
  <si>
    <t>13.1.01.00000</t>
  </si>
  <si>
    <t>13.1.01.61450</t>
  </si>
  <si>
    <t>13.2.01.00000</t>
  </si>
  <si>
    <t>14.0.00.00000</t>
  </si>
  <si>
    <t>14.1.00.00000</t>
  </si>
  <si>
    <t>14.1.01.00000</t>
  </si>
  <si>
    <t>15.0.00.00000</t>
  </si>
  <si>
    <t>15.1.00.00000</t>
  </si>
  <si>
    <t>15.1.01.00000</t>
  </si>
  <si>
    <t>15.1.01.61600</t>
  </si>
  <si>
    <t>23.0.00.00000</t>
  </si>
  <si>
    <t>23.1.00.00000</t>
  </si>
  <si>
    <t>23.1.01.00000</t>
  </si>
  <si>
    <t>23.1.01.61800</t>
  </si>
  <si>
    <t>21.0.00.00000</t>
  </si>
  <si>
    <t>21.1.00.00000</t>
  </si>
  <si>
    <t>21.1.01.00000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</si>
  <si>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</si>
  <si>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21.1.01.61700</t>
  </si>
  <si>
    <t>21.2.00.00000</t>
  </si>
  <si>
    <t>21.2.01.00000</t>
  </si>
  <si>
    <t>21.2.01.61750</t>
  </si>
  <si>
    <t>24.0.00.00000</t>
  </si>
  <si>
    <t>24.1.00.00000</t>
  </si>
  <si>
    <t>24.1.01.00000</t>
  </si>
  <si>
    <t>24.1.01.61850</t>
  </si>
  <si>
    <t>24.1.01.61860</t>
  </si>
  <si>
    <t>24.1.01.72440</t>
  </si>
  <si>
    <t>24.2.00.00000</t>
  </si>
  <si>
    <t>24.2.01.00000</t>
  </si>
  <si>
    <t>Обеспечение населения Первомайского МР услугами пассажирского автотранспорта на внутримуниципальных маршрутах</t>
  </si>
  <si>
    <t>24.2.01.61900</t>
  </si>
  <si>
    <t>24.2.02.00000</t>
  </si>
  <si>
    <t>Предоставление социальных услуг отдельным категориям граждан при проезде в транспорте общего пользования</t>
  </si>
  <si>
    <t>24.2.02.72550</t>
  </si>
  <si>
    <t>24.2.02.72560</t>
  </si>
  <si>
    <t>25.0.00.00000</t>
  </si>
  <si>
    <t>25.1.00.00000</t>
  </si>
  <si>
    <t>25.1.01.00000</t>
  </si>
  <si>
    <t>25.1.01.61950</t>
  </si>
  <si>
    <t>36.0.00.00000</t>
  </si>
  <si>
    <t>36.1.00.00000</t>
  </si>
  <si>
    <t>36.1.01.00000</t>
  </si>
  <si>
    <t>36.1.01.62100</t>
  </si>
  <si>
    <t>50.0.00.00000</t>
  </si>
  <si>
    <t>50.0.00.59300</t>
  </si>
  <si>
    <t>50.0.00.65000</t>
  </si>
  <si>
    <t>50.0.00.65010</t>
  </si>
  <si>
    <t>50.0.00.65020</t>
  </si>
  <si>
    <t>50.0.00.65030</t>
  </si>
  <si>
    <t>50.0.00.65040</t>
  </si>
  <si>
    <t>50.0.00.65050</t>
  </si>
  <si>
    <t>50.0.00.65060</t>
  </si>
  <si>
    <t>50.0.00.65070</t>
  </si>
  <si>
    <t>50.0.00.65080</t>
  </si>
  <si>
    <t>50.0.00.65100</t>
  </si>
  <si>
    <t>50.0.00.70550</t>
  </si>
  <si>
    <t>50.0.00.80190</t>
  </si>
  <si>
    <t>50.0.00.80200</t>
  </si>
  <si>
    <t>50.0.00.70870</t>
  </si>
  <si>
    <t>Развитие спортивной инфраструктуры, популяризации физической культуры и массового спорта в Первомайском муниципальном районе</t>
  </si>
  <si>
    <t xml:space="preserve">Обеспечение и исполнение обязанностей, возложенных на МУ "Центр обеспечения функционирования органов местного самоуправления Первомайского муниципального района" </t>
  </si>
  <si>
    <t>Развитие сети автомобильных дорог общего пользования местного значения Первомайского муниципального района</t>
  </si>
  <si>
    <t>Развитие сельскохозяйственного производства</t>
  </si>
  <si>
    <t>25.1.02.53910</t>
  </si>
  <si>
    <t>Расходы на подготовку и проведение Всероссийской сельскохозяйственной переписи 2016 года</t>
  </si>
  <si>
    <t>Реализация мероприятий по развитию сельскохозяйственного производства</t>
  </si>
  <si>
    <t>Исполнение полномочий собственника имущества и полномочий в сфере земельных отношений</t>
  </si>
  <si>
    <t>21.3.01.61780</t>
  </si>
  <si>
    <t>Проведение мероприятий, направленных на подведение итогов районного трудового соперничества работников сельского хозяйства</t>
  </si>
  <si>
    <t>17.0.00.00000</t>
  </si>
  <si>
    <t>17.1.00.00000</t>
  </si>
  <si>
    <t>17.1.01.00000</t>
  </si>
  <si>
    <t>50.0.00.51200</t>
  </si>
  <si>
    <t>Расходы на составление (изменение и дополнение) списков кандидатов в присяжные заседатели федеральных судов общей юрисдикции</t>
  </si>
  <si>
    <t>50.0.00.51180</t>
  </si>
  <si>
    <t>Расходы на осуществление первичного воинского учета на территориях, где отсутствуют военные комиссариаты</t>
  </si>
  <si>
    <t>Мероприятия по управлению, распоряжению имуществом, находящимся в муниципальной собственности Первомайского района, и приобретению права собственности</t>
  </si>
  <si>
    <t>11.1.02.00000</t>
  </si>
  <si>
    <t>11.1.02.74720</t>
  </si>
  <si>
    <t>Расходы на оснащение оборудованием муниципальных учреждений культуры</t>
  </si>
  <si>
    <t>24.1.01.74790</t>
  </si>
  <si>
    <t xml:space="preserve"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</si>
  <si>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02.1.01.70510</t>
  </si>
  <si>
    <t>02.1.01.73110</t>
  </si>
  <si>
    <t>Расходы на оказание услуг по техническому сопровождению программных продуктов "АС Бюджет", АС "УРМ", ПО "Сервер обмена данными", а также дополнительных программных модулей и функционала к этим программным продуктам</t>
  </si>
  <si>
    <t>06.1.01.74390</t>
  </si>
  <si>
    <t>08.2.00.00000</t>
  </si>
  <si>
    <t>08.2.01.00000</t>
  </si>
  <si>
    <t>08.2.01.60720</t>
  </si>
  <si>
    <t>Реализация мероприятий по профилактике правонарушений на территории Первомайского муниципального района</t>
  </si>
  <si>
    <t>06.1.01.71060</t>
  </si>
  <si>
    <t xml:space="preserve"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</si>
  <si>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15.1.02.00000</t>
  </si>
  <si>
    <t>Развитие инфраструктуры поддержки субъектов малого и среднего предпринимательства</t>
  </si>
  <si>
    <t>15.1.02.61610</t>
  </si>
  <si>
    <t>Организация деятельности информационно - консультационнгого центра</t>
  </si>
  <si>
    <t>Государственная поддержка опеки и попечительства</t>
  </si>
  <si>
    <t>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</si>
  <si>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</si>
  <si>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</si>
  <si>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>Компенсация части расходов на приобретение путевки в организации отдыха детей и их оздоровления</t>
  </si>
  <si>
    <t>Частичная оплата стоимости путевки в организации отдыха детей и их оздоровления</t>
  </si>
  <si>
    <t>21.1.01.61710</t>
  </si>
  <si>
    <t>Информирование населения о деятельности органов местного самоуправления через средства массовой информации</t>
  </si>
  <si>
    <t>26.0.00.00000</t>
  </si>
  <si>
    <t>Муниципальная программа "Отлов и содержание безнадзорных животных на территории Первомайского муниципального района на 2017-2019 годы."</t>
  </si>
  <si>
    <t>26.1.00.00000</t>
  </si>
  <si>
    <t>Общепрограммные расходы муниципальной программы "Отлов и содержание безнадзорных животных на территории Первомайского муниципального района на 2017-2019 годы."</t>
  </si>
  <si>
    <t>26.1.01.00000</t>
  </si>
  <si>
    <t>Отлов безнадзорных животных</t>
  </si>
  <si>
    <t>06.1.01.75160</t>
  </si>
  <si>
    <t>11.1.02.71750</t>
  </si>
  <si>
    <t>Реализация мероприятий по созданию условий для развития инфраструктуры досуга и отдыха</t>
  </si>
  <si>
    <t>03.1.03.00000</t>
  </si>
  <si>
    <t>03.1.03.70850</t>
  </si>
  <si>
    <t>Поддержка социально ориентированных некоммерческих организаций</t>
  </si>
  <si>
    <t>Создание условий для эффективной деятельности муниципального учреждения Спортивный комплекс "Надежда" Первомайского муниципального района</t>
  </si>
  <si>
    <t>Создание благоприятных условий для отдыха, оздоровления и занятости детей,проживающих на территории Первомайского района</t>
  </si>
  <si>
    <t>Выплаты ежемесячных доплат к пенсии за выслугу лет муниципальным служащим</t>
  </si>
  <si>
    <t>30.0.00.00000</t>
  </si>
  <si>
    <t>30.1.00.00000</t>
  </si>
  <si>
    <t>30.1.01.00000</t>
  </si>
  <si>
    <t>Мероприятия по обеспечению функционирования в вечернее время спортивных залов организаций для занятий в них обучающихся за счет местного бюджета</t>
  </si>
  <si>
    <t>Создание условий для развития печатного средства массовой информации Первомайского муниципального района - районной общественно-политической газеты "Призыв"</t>
  </si>
  <si>
    <t>Внедрение энегросберегающих технологий и энергетически эффективного оборудования в учреждениях района, экономия энергетических и тепловых ресурсов</t>
  </si>
  <si>
    <t>Реализация мероприятий по созданию условий для развития инфраструктуры досуга и отдыха за счет средств местного бюджета в рамках софинансирования</t>
  </si>
  <si>
    <t>11.1.02.61070</t>
  </si>
  <si>
    <t>11.1.01.61040</t>
  </si>
  <si>
    <t xml:space="preserve">Укрепление материально-технической базы муниципальных учреждений культуры Первомайского района </t>
  </si>
  <si>
    <t>03.1.01.75230</t>
  </si>
  <si>
    <t>Расходы на составление (изменений и дополнение) списков кандидатов в присяжные заседатели федеральных судов общей юрисдикции</t>
  </si>
  <si>
    <t>03.1.01.R4620</t>
  </si>
  <si>
    <t>Расходы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</si>
  <si>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03.1.01.75480</t>
  </si>
  <si>
    <t>Расходы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</si>
  <si>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03.1.01.75490</t>
  </si>
  <si>
    <t>Расходы на реализацию мероприятий по строительству и реконструкции объектов теплоснабжения</t>
  </si>
  <si>
    <t>Расходы на реализацию мероприятий по строительству объектов газификации</t>
  </si>
  <si>
    <t>14.1.01.75260</t>
  </si>
  <si>
    <t>Подпрограмма "Улучшение условий и охраны труда по Первомайскому муниципальному району на  2018-2020 годы"</t>
  </si>
  <si>
    <t>Мероприятия по реализации  подпрограммы "Улучшение условий и охраны труда по Первомайскому муниципальному району на 2018-2020 годы"</t>
  </si>
  <si>
    <t>Реализация мероприятий Подпрограммы "Молодежь" на 2018-2020 годы</t>
  </si>
  <si>
    <t>Подпрограмма "Патриотическое воспитание граждан Российской Федерации, проживающих на территории Первомайского муниципального района" на 2018-2020 годы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</si>
  <si>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муниципального района  2018-2020 годы"</t>
  </si>
  <si>
    <t>Подпрограмма "Молодежь" на  2018-2020 годы</t>
  </si>
  <si>
    <t xml:space="preserve"> Муниципальная программа «Газификация и модернизация жилищно-коммунального 
хозяйства Первомайского муниципального района» 
на 2018-2020 годы.
</t>
  </si>
  <si>
    <t xml:space="preserve">Общепрограммные расходы муниципальной программы «Газификация и модернизация жилищно-коммунального 
хозяйства Первомайского муниципального района» 
на 2018-2020 годы.
</t>
  </si>
  <si>
    <t xml:space="preserve"> Газификация населённых пунктов Первомайского района (строительство распределительных  газовых сетей с вводом их в эксплуатацию).</t>
  </si>
  <si>
    <t>14.1.01.61520</t>
  </si>
  <si>
    <t>Расходы на газификацию населенных пунктов (строительство межпоселковых газопроводов и распределительных газовых сетей) в рамках софинансирования</t>
  </si>
  <si>
    <t>Модернизация объектов теплоснабжения (перевод котельных на газовое топливо)</t>
  </si>
  <si>
    <t>14.1.02.00000</t>
  </si>
  <si>
    <t>Расходы на модернизацию объектов теплоснабжения (перевод котельных на газовое топливо) в рамках софинансирования</t>
  </si>
  <si>
    <t>14.1.02.61530</t>
  </si>
  <si>
    <t>14.1.02.75250</t>
  </si>
  <si>
    <t>Мероприятия по кадастровым работам, технической инвентаризации,землеустройству, определению рыночной стоимости муниципального имущества и земельных участков; управлению и распоряжению имуществом, находящимся в муниципальной собственности</t>
  </si>
  <si>
    <t>Компенсация расходов за присмотр и уход за детьми,осваивающими образовательные программы дошкольного образования в организациях, осуществляющих образовательную деятельность</t>
  </si>
  <si>
    <t>Организация питания обучающихся образовательных организаций</t>
  </si>
  <si>
    <t>Осуществление переданных полномочий Российской Федерации на предоставление отдельных мер социальной поддержка граждан, подвергшихся воздействию радиации, за счет средств федерального бюджета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</si>
  <si>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 за счет средств федерального бюджета</t>
  </si>
  <si>
    <t>Ежемесячная денежная выплата, назначаемая при рождении третьего ребенка или последующих детей до достижения ребенком возраста трех лет</t>
  </si>
  <si>
    <t>Оказание социальной помощи отдельным категориям граждан</t>
  </si>
  <si>
    <t>Содержание 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</si>
  <si>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25.1.02.0000</t>
  </si>
  <si>
    <t>25.1.02.61960</t>
  </si>
  <si>
    <t>25.1.02.74420</t>
  </si>
  <si>
    <t>Расходы на отлов  и содержание безнадзорных животных</t>
  </si>
  <si>
    <t>02.1.01.75890</t>
  </si>
  <si>
    <t>Расходы на повышение оплаты труда отдельных категорий работников муниципальных учреждений в сфере образования</t>
  </si>
  <si>
    <t>Назначение и осуществление ежемесячной выплаты в связи с рождением (усыновлением) первого ребенка</t>
  </si>
  <si>
    <t>22.0.00.00000</t>
  </si>
  <si>
    <t>22.1.00.00000</t>
  </si>
  <si>
    <t>22.1.01.00000</t>
  </si>
  <si>
    <t>22.1.01.61770</t>
  </si>
  <si>
    <t>09.0.00.00000</t>
  </si>
  <si>
    <t>09.1.00.00000</t>
  </si>
  <si>
    <t>09.1.01.00000</t>
  </si>
  <si>
    <t>09.1.01.61300</t>
  </si>
  <si>
    <t>12.0.00.00000</t>
  </si>
  <si>
    <t>12.1.00.00000</t>
  </si>
  <si>
    <t>12.1.01.00000</t>
  </si>
  <si>
    <t>12.1.01.61350</t>
  </si>
  <si>
    <t>05.0.00.00000</t>
  </si>
  <si>
    <t>05.1.00.00000</t>
  </si>
  <si>
    <t>05.1.01.00000</t>
  </si>
  <si>
    <t>Муниципальная программа "Обеспечение качественными коммунальными услугами населения Первомайского муниципального района на 2019 год"</t>
  </si>
  <si>
    <t>Общепрограммные расходы муниципальной программы "Обеспечение качественными коммунальными услугами населения Первомайского муниципального района на 2019 год"</t>
  </si>
  <si>
    <t>Повышение качества водоснабжения, водоотведения и очистки сточных вод</t>
  </si>
  <si>
    <t>Расходы на повышение оплаты труда работников муниципальных учреждений в сфере культуры</t>
  </si>
  <si>
    <t>11.1.01.75900</t>
  </si>
  <si>
    <t>Проведение организационных и информационных мероприятий по патриотическому воспитанию в Первомайском муниципальном районе</t>
  </si>
  <si>
    <t>Обеспечение территориальной доступности товаров для сельского населения путем оказания муниципальной поддержки</t>
  </si>
  <si>
    <t>10.1.02.00000</t>
  </si>
  <si>
    <t>10.1.02.60960</t>
  </si>
  <si>
    <t>Обучение населения в области ГО, защиты от ЧС</t>
  </si>
  <si>
    <t>Мероприятия по обучению населения в области ГО, защиты от ЧС</t>
  </si>
  <si>
    <t>30.1.01.61970</t>
  </si>
  <si>
    <t>Проведение мероприятий по строительству и (или) реконструкции объектов газификации и водоснабжения в сельской местности</t>
  </si>
  <si>
    <t>25.1.02.L5670</t>
  </si>
  <si>
    <t>Приобретение автотранспорта в целях доставки лиц старше 65 лет, проживающих в сельской местности, в медицинские организации</t>
  </si>
  <si>
    <t>Укрепление материально-технической базы муниципальных учреждений, подведомственных Отделу культуры, туризма и молодежной политики администрации Первомайского муниципального района</t>
  </si>
  <si>
    <t>Расходы на укрепление материально-технической базы культурно-досуговых и образовательных учреждений</t>
  </si>
  <si>
    <t>11.1.02.61060</t>
  </si>
  <si>
    <t>Реализация мероприятий по строительству и реконструкции объектов водоснабжения и водоотведения за счет субсидии из областного бюджета</t>
  </si>
  <si>
    <t>14.1.01.72040</t>
  </si>
  <si>
    <t xml:space="preserve">Межбюджетные трансферты, передаваемые бюджетам поселений на содержание дорог по соглашению  
</t>
  </si>
  <si>
    <t>2019 год   вносимые изменения</t>
  </si>
  <si>
    <t>2019 год                    Итого</t>
  </si>
  <si>
    <t>03.1.P1.50840</t>
  </si>
  <si>
    <t>03.1.P1.55730</t>
  </si>
  <si>
    <t>03.1.P3.52930</t>
  </si>
  <si>
    <t>11.1.01.61060</t>
  </si>
  <si>
    <t>03.1.P1.00000</t>
  </si>
  <si>
    <t>Усиление мер государственной поддержки семей в связи с рождением и воспитанием детей</t>
  </si>
  <si>
    <t>03.1.Р3.00000</t>
  </si>
  <si>
    <t>Реализация федерального проекта "Старшее поколение" и национального проекта "Демография"</t>
  </si>
  <si>
    <t>06.1.01.61000</t>
  </si>
  <si>
    <t>Расходы на оплату стоимости набора продуктов питания в лагерях с дневной формой пребывания детей за счет средств бюджета района</t>
  </si>
  <si>
    <t>Расходы на финансирование дорожного хозяйства за счет субсидии из областного бюджета</t>
  </si>
  <si>
    <t>12.1.02.00000</t>
  </si>
  <si>
    <t>12.1.02.66150</t>
  </si>
  <si>
    <t>Обеспечение трудоустройства несовершеннолетних граждан на временные рабочие места за счет средств местного бюджета</t>
  </si>
  <si>
    <t>Содействие временной занятости и адаптация к трудовой деятельности несовершеннолетних граждан</t>
  </si>
  <si>
    <t>24.1.01.62440</t>
  </si>
  <si>
    <t>Расходы на финансирование дорожного хозяйства за счет средств бюджета района в рамках софинансирования</t>
  </si>
  <si>
    <t>17.1.01.72880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</si>
  <si>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</si>
  <si>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09.1.01.74880</t>
  </si>
  <si>
    <t>Реализация мероприятий по патриотическому воспитанию граждан за счет субсидии из областного бюджета</t>
  </si>
  <si>
    <t>12.1.02.76150</t>
  </si>
  <si>
    <t>Обеспечение трудоустройства несовершеннолетних граждан на временные рабочие места за счет субсидии из областного бюджета</t>
  </si>
  <si>
    <t>Расходы  на осуществление деятельности в сфере молодежной политики социальными учреждениями молодежи</t>
  </si>
  <si>
    <t>25.1.02.61950</t>
  </si>
  <si>
    <t>Обеспечение персонифицированного финансирования дополнительного образования детей</t>
  </si>
  <si>
    <t>02.1.01.60050</t>
  </si>
  <si>
    <t>05.1.02.00000</t>
  </si>
  <si>
    <t>Разработка и внесение сведений в ЕГРН о границах территориальных зон, установленных документами градостроительного зонирования</t>
  </si>
  <si>
    <t>Реализация мероприятий по описанию границ территориальных зон, установленных правилами землепользования и застройки поселений, за счет средств областного бюджета</t>
  </si>
  <si>
    <t>05.1.02.71280</t>
  </si>
  <si>
    <t>03.1.01.75880</t>
  </si>
  <si>
    <t>Государственная поддержка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</si>
  <si>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11.1.01.L5191</t>
  </si>
  <si>
    <t>Расходы на комплектование книжных фондов муниципальных библиотек</t>
  </si>
  <si>
    <t>11.1.01.L5193</t>
  </si>
  <si>
    <t>Расходы на государственную поддержку лучших сельских учреждений культуры и лучших работников сельских учреждений культуры</t>
  </si>
  <si>
    <t>Подпрограмма "Развитие массового спорта и материально-технической базы в Первомайском муниципальном районе на 2020-2022 годы"</t>
  </si>
  <si>
    <t>Реализация мероприятий Подпрограммы "Развитие массового спорта и материально-технической базы в Первомайском муниципальном районе на 2020-2022 годы"</t>
  </si>
  <si>
    <t>18.1.00.00000</t>
  </si>
  <si>
    <t>18.0.00.00000</t>
  </si>
  <si>
    <t>18.1.01.00000</t>
  </si>
  <si>
    <t>18.1.01.75260</t>
  </si>
  <si>
    <t>Субсидия на реализацию мероприятий по строительству объектов газификации</t>
  </si>
  <si>
    <t>Газификация населённых пунктов Первомайского района (строительство распределительных  газовых сетей с вводом их в эксплуатацию)</t>
  </si>
  <si>
    <t>18.1.01.65260</t>
  </si>
  <si>
    <t>Реализация мероприятий по строительству объектов газификации в рамках софинансирования</t>
  </si>
  <si>
    <t>25.1.02.76900</t>
  </si>
  <si>
    <t>Расходы на реализацию мероприятий по борьбе с борщевиком Сосновского</t>
  </si>
  <si>
    <t>Муниципальная  программа "Поддержка потребительского рынка на селе" на 2020-2022 годы</t>
  </si>
  <si>
    <t>Общепрограммные расходы муниципальной программы "Поддержка потребительского рынка на селе" на 2020-2022 годы</t>
  </si>
  <si>
    <t>02.1.Е1.61960</t>
  </si>
  <si>
    <t>02.1.Е1.71960</t>
  </si>
  <si>
    <t>Обеспечение деятельности  учреждений, подведомственных учредителю в сфере общего образования</t>
  </si>
  <si>
    <t xml:space="preserve">Обеспечение деятельности  учреждений, подведомственных учредителю в сфере дополнительного образования </t>
  </si>
  <si>
    <t>02.1.Е1.00000</t>
  </si>
  <si>
    <t>Участие в региональном проекте "Современная школа"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</si>
  <si>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роста", за счет субсидии из областного бюджета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</si>
  <si>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роста", в рамках софинансирования</t>
  </si>
  <si>
    <t>12.1.02.76950</t>
  </si>
  <si>
    <t>10.1.06.00000</t>
  </si>
  <si>
    <t>Мероприятия по развитию системы оповещения и информирования населения в целях защиты от чрезвычайных ситуаций</t>
  </si>
  <si>
    <t>10.1.06.60960</t>
  </si>
  <si>
    <t>Дотации поселениям  муниципального района на выравнивание бюджетной обеспеченности за счет средств бюджета района</t>
  </si>
  <si>
    <t>08.4.00.00000</t>
  </si>
  <si>
    <t>08.4.01.00000</t>
  </si>
  <si>
    <t>08.5.00.00000</t>
  </si>
  <si>
    <t>08.5.01.00000</t>
  </si>
  <si>
    <t>08.5.01.60740</t>
  </si>
  <si>
    <t>Подпрограмма "Противодействие коррупции в Первомайском муниципальном районе" на 2021-2023 годы</t>
  </si>
  <si>
    <t>02.1.02.R3041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</si>
  <si>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</si>
  <si>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18.1.02.00000</t>
  </si>
  <si>
    <t>18.1.02.65250</t>
  </si>
  <si>
    <t>18.1.02.75250</t>
  </si>
  <si>
    <t>Субсидия на реализацию мероприятий по строительству и реконструкции объектов теплоснабжения</t>
  </si>
  <si>
    <t>Реализация мероприятий по строительству и реконструкции объектов теплоснабжения в рамках софинансирования</t>
  </si>
  <si>
    <t>50.0.00.54690</t>
  </si>
  <si>
    <t>Расходы по подготовке и проведению Всероссийской переписи населения</t>
  </si>
  <si>
    <t>03.1.01.53800</t>
  </si>
  <si>
    <t xml:space="preserve"> 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за счет средств федерального бюджета</t>
  </si>
  <si>
    <t>03.1.02.75520</t>
  </si>
  <si>
    <t>03.1.02.R4040</t>
  </si>
  <si>
    <t>Реализация мероприятий, направленных на оказание государственной социальной помощи на основании социального контракта в части расходов по доставке выплат получателям</t>
  </si>
  <si>
    <t>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</si>
  <si>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03.1.01.R3020</t>
  </si>
  <si>
    <t>Осуществление ежемесячных выплат на детей в возрасте от трех до семи лет включительно</t>
  </si>
  <si>
    <t>03.1.01.75510</t>
  </si>
  <si>
    <t>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</si>
  <si>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03.1.P1.75480</t>
  </si>
  <si>
    <t>Реализация мероприятий по профилактике терроризма на территории Первомайского муниципального района</t>
  </si>
  <si>
    <t>Реализация мероприятий по противодействию коррупции на территории Первомайского муниципального района</t>
  </si>
  <si>
    <t>Осуществление антикоррупционной пропаганды и антикоррупционного просвещения</t>
  </si>
  <si>
    <t>02.1.Е1.71690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</si>
  <si>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</si>
  <si>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12.1.02.66950</t>
  </si>
  <si>
    <t>Обеспечение трудоустройства несовершеннолетних граждан на временные рабочие места за счет средств бюджета района в рамках софинансирования</t>
  </si>
  <si>
    <t>02.1.01.53031</t>
  </si>
  <si>
    <t>Выплата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</si>
  <si>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05.1.02.60500</t>
  </si>
  <si>
    <t>Реализация мероприятий по описанию границ территориальных зон, установленных правилами землепользования и застройки поселений</t>
  </si>
  <si>
    <t>05.1.01.60510</t>
  </si>
  <si>
    <t>2021 год (руб.) вносимые изменения</t>
  </si>
  <si>
    <t>2021 год (руб.) итого</t>
  </si>
  <si>
    <t>2021 год (руб.) решение о бюджете</t>
  </si>
  <si>
    <t>11.1.02.L4670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</si>
  <si>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</si>
  <si>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13.1.01.65870</t>
  </si>
  <si>
    <t>Предоставление иного межбюджетного трансферта городскому поселению Пречистое на устройство спортивной площадки в р.п. Пречистое  Ярославской обл, ул. Вологодская за счет дотации на поощрение достижения наилучших значений показателей по отдельным направлениям развития муниципальных образований ЯО</t>
  </si>
  <si>
    <t>Изменения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</si>
  <si>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средств бюджетов сельских поселений</t>
  </si>
  <si>
    <t>17.1.01.62880</t>
  </si>
  <si>
    <t>Развитие материально-технической базы библиотек Первомайского муниципального района</t>
  </si>
  <si>
    <t>11.2.01.0000</t>
  </si>
  <si>
    <t xml:space="preserve">Мероприятия по развитию материально-технической базы библиотек </t>
  </si>
  <si>
    <t>11.2.01.60070</t>
  </si>
  <si>
    <t>Расходы по повышению антитеррористической защищенности объектов образования за счет средств областного бюджета</t>
  </si>
  <si>
    <t>02.1.01.77440</t>
  </si>
  <si>
    <t>Расходы по повышению антитеррористической защищенности объектов образования в рамках софинансирования из бюджета района</t>
  </si>
  <si>
    <t>02.1.01.67440</t>
  </si>
  <si>
    <t>Расходы на исполнение судебных актов по искам к Первомайскому муниципальному району о возмещении вреда</t>
  </si>
  <si>
    <t>50.0.00.65110</t>
  </si>
  <si>
    <t>50.0.00.80120</t>
  </si>
  <si>
    <t>Расходы за счет средств, выделенных из резервного фонда Правительства Ярославской области</t>
  </si>
  <si>
    <t>18.1.02.62240</t>
  </si>
  <si>
    <t>Реализация мероприятий по модернизации объектов теплоснабжения</t>
  </si>
  <si>
    <t>21.1.01.65120</t>
  </si>
  <si>
    <t>Подпрограмма "Улучшение условий и охраны труда по Первомайскому муниципальному району на 2022-2024 годы"</t>
  </si>
  <si>
    <t>Мероприятия по реализации  подпрограммы "Улучшение условий и охраны труда по Первомайскому муниципальному району на 2022-2024 годы"</t>
  </si>
  <si>
    <t>Подрограмма "Развитие библиотечного обслуживания населения и материально-технической базы библиотек на 2022-2024 годы"</t>
  </si>
  <si>
    <t>Подпрограмма "Развитие массового спорта и материально-технической базы в Первомайском муниципальном районе на 2022-2024 годы"</t>
  </si>
  <si>
    <t>Расходы на осуществление регулярных перевозок пассажиров автомобильным транспортом по регулируемым тарифам на муниципальных маршрутах</t>
  </si>
  <si>
    <t>Развитие и поддержание в состоянии постоянной готовности к использованию муниципальной (местной) системы оповещения Первомайского муниципального района, служащей для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</t>
  </si>
  <si>
    <t xml:space="preserve">Расходы на обеспечение деятельности органов местного самоуправления (содержание администрации муниципального района) </t>
  </si>
  <si>
    <t>02.1.E2.00000</t>
  </si>
  <si>
    <t>02.1.E2.50970</t>
  </si>
  <si>
    <t>Реализация мероприятий регионального проекта "Успех каждого ребенка"</t>
  </si>
  <si>
    <t>Комплектование книжных фондов муниципальных библиотек</t>
  </si>
  <si>
    <t>11.1.А1.00000</t>
  </si>
  <si>
    <t>11.1.А1.55198</t>
  </si>
  <si>
    <t>Участие в региональном проекте "Культурная среда"</t>
  </si>
  <si>
    <t>02.1.E2.60970</t>
  </si>
  <si>
    <t>02.1.04.75350</t>
  </si>
  <si>
    <t>02.1.04.00000</t>
  </si>
  <si>
    <t>Расходы на создание в общеобразовательных организациях условий для занятий физической культурой и спортом</t>
  </si>
  <si>
    <t>Софинансирование расходов на создание в общеобразовательных организациях условий для занятий физической культурой и спортом</t>
  </si>
  <si>
    <t>Расходы за счет межбюджетных трансфертов на поддержку инициатив органов ученического самоуправления общеобразовательных организаций</t>
  </si>
  <si>
    <t>Участие в областной  подпрограмме "Развитие инициативного бюджетирования на территории Ярославской области"</t>
  </si>
  <si>
    <t>Расходы за счет субсидии на модернизацию муниципальных детских школ искусств по видам искусств</t>
  </si>
  <si>
    <t>Информационная, консультационная и организационная поддержка субъектов малого и среднего предпринимательства, а так же физических лиц, не являющихся индивидуальными предпринимателями и применяющих специальный налоговый режим "Налог на профессиональный доход"</t>
  </si>
  <si>
    <t>Создание  благоприятных условий для проживания граждан</t>
  </si>
  <si>
    <t>Повышение финансовых возможностей муниципальных образований Первомайского муниципального района</t>
  </si>
  <si>
    <t>36.2.00.00000</t>
  </si>
  <si>
    <t>36.2.01.00000</t>
  </si>
  <si>
    <t>Организационно-техническое и нормативно-методическое обеспечение бюджетного процесса</t>
  </si>
  <si>
    <t>36.2.01.62120</t>
  </si>
  <si>
    <t>Поддержка сельскохозяйственного производства в части организационных мероприятий</t>
  </si>
  <si>
    <t>Обеспечение района актуальными документами территориального планирования и документами градостроительного зонирования, обеспечивающими эффективное использование его территории, принятие решений и их реализацию в градостроительной деятельности</t>
  </si>
  <si>
    <t>13.1.01.61460</t>
  </si>
  <si>
    <t>02.1.E1.00000</t>
  </si>
  <si>
    <t>02.1.Е1.61690</t>
  </si>
  <si>
    <t>Проведение ремонтных работ в помещениях, предназначенных для создания центров образования естественно-научной и технологической направленностей,  в рамках софинансирования</t>
  </si>
  <si>
    <t>08.1.01.60710</t>
  </si>
  <si>
    <t>08.4.01.60740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</si>
  <si>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</si>
  <si>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08.2.01.60710</t>
  </si>
  <si>
    <t>Профилактика терроризмана территории Первомайского муниципального района</t>
  </si>
  <si>
    <t>08.3.02.00000</t>
  </si>
  <si>
    <t>08.3.02.60730</t>
  </si>
  <si>
    <t>Создание условий для обеспечения противодействия коррупции на территории Первомайского муниципального района</t>
  </si>
  <si>
    <t>11.1.А2.00000</t>
  </si>
  <si>
    <t>11.1.А2.55193</t>
  </si>
  <si>
    <t>18.1.03.70620</t>
  </si>
  <si>
    <t>18.1.03.00000</t>
  </si>
  <si>
    <t>Участие в региональном проекте "Творческие люди"</t>
  </si>
  <si>
    <t>Выплата денежных поощрений лучшим сельским учреждениям культуры и лучшим работникам сельских учреждений культуры</t>
  </si>
  <si>
    <t>Проведение комплекса кадастровых работ на объектах газораспределения</t>
  </si>
  <si>
    <t>Расходы на проведение комплекса кадастровых работ на объектах газораспределения</t>
  </si>
  <si>
    <t>11.1.01.70760</t>
  </si>
  <si>
    <t>Расходы на организацию и проведение культурных мероприятий, направленных на улучшение социального самочувствия жителей муниципального района</t>
  </si>
  <si>
    <t>Возмещение части затрат организациям и индивидуальным предпринимателям, занимающимся доставкой товаров в отдаленные сельские населенные пункты, за счет средств бюджетов поселений</t>
  </si>
  <si>
    <t>Муниципальная программа "Поддержка потребительского рынка на селе" на 2022-2024 годы</t>
  </si>
  <si>
    <t>Подпрограмма "Общепрограммные расходы муниципальной программы "Поддержка потребительского рынка на селе" на 2022-2024 годы"</t>
  </si>
  <si>
    <t>Расходы на улучшение значений показателей по отдельным направлениям развития муниципального района</t>
  </si>
  <si>
    <t>02.1.01.60370</t>
  </si>
  <si>
    <t>Развитие материально-технической базы общеобразовательных организаций для организации питания обучающихся за счет субсидии из областного бюджета</t>
  </si>
  <si>
    <t>02.1.01.70370</t>
  </si>
  <si>
    <t>Развитие материально-технической базы общеобразовательных организаций для организации питания обучающихся в рамках софинансирования</t>
  </si>
  <si>
    <t>02.1.02.71100</t>
  </si>
  <si>
    <t>Мероприятия по обеспечению присмотра и ухода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</si>
  <si>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Государственная поддержка отдельных категорий граждан для проведения ремонта жилых помещений и (или) работ, направленных на повышение уровня обеспеченности их коммунальными услугами</t>
  </si>
  <si>
    <t>11.1.01.61080</t>
  </si>
  <si>
    <t>Проведение мероприятий в рамках празднования Года культурного наследия народов России</t>
  </si>
  <si>
    <t>21.1.01.55490</t>
  </si>
  <si>
    <t>Поощрение муниципальных управленческих команд за достижение показателей деятельности</t>
  </si>
  <si>
    <t>2023 год (руб.)</t>
  </si>
  <si>
    <t>Расходы  бюджета Первомайского муниципального района по целевым статьям                                                                                                                      (муниципальным  программам и непрограммным направлениям деятельности) и группам видов расходов классификации расходов бюджетов Российской Федерации                             на 2023 год</t>
  </si>
  <si>
    <t>Муниципальная программа «Развитие образования в Первомайском муниципальном районе» на 2023-2025 годы</t>
  </si>
  <si>
    <t>Подпрограмма «Общепрограммные расходы муниципальной программы «Развитие образования в Первомайском муниципальном районе» на 2023-2025 годы»</t>
  </si>
  <si>
    <t>Муниципальная программа  «Социальная поддержка населения Первомайского муниципального района» на 2023-2025 годы</t>
  </si>
  <si>
    <t>Подпрограмма «Ведомственная целевая программа отдела труда и социальной поддержки населения администрации Первомайского муниципального района» на 2023-2025 годы</t>
  </si>
  <si>
    <t>Подпрограмма «Поддержка социально ориентированных не коммерческих организаций Первомайского муниципального района» на 2023-2025 годы</t>
  </si>
  <si>
    <t>Подпрограмма «Улучшение условий и охраны труда  по Первомайскому муниципальному району» на 2023-2025 годы</t>
  </si>
  <si>
    <t>Мероприятия по реализации  подпрограммы «Улучшение условий и охраны труда  по Первомайскому муниципальному району» на 2023-2025 годы</t>
  </si>
  <si>
    <t>Реализация мероприятий подпрограммы «Поддержка социально ориентированных не коммерческих организаций Первомайского муниципального района» на 2023-2025 годы</t>
  </si>
  <si>
    <t xml:space="preserve">Муниципальная программа «Разработка и актуализация градостроительной документации 
Первомайского района Ярославской области» на 2021-2024 годы
</t>
  </si>
  <si>
    <t xml:space="preserve">Подпрограмма «Общепрограммные расходы муниципальной программы «Разработка и актуализация градостроительной документации 
Первомайского района Ярославской области» на 2021-2024 годы
</t>
  </si>
  <si>
    <t xml:space="preserve">Мероприятия  по реализации Подпрограммы «Общепрограммные расходы муниципальной программы «Разработка и актуализация градостроительной документации 
Первомайского района Ярославской области» на 2021-2024 годы
</t>
  </si>
  <si>
    <t>Муниципальная  программа «Комплексные меры по организации отдыха и оздоровления детей Первомайского района на 2023-2025 годы»</t>
  </si>
  <si>
    <t>Подпрограмма «Общепрограммные расходы муниципальной программы «Комплексные меры по организации отдыха и оздоровления детей Первомайского района» на 2023-2025 годы»</t>
  </si>
  <si>
    <t>Мероприятия  по реализации подпрограммы «Общепрограммные расходы муниципальной программы «Комплексные меры по организации отдыха и оздоровления детей Первомайского района» на 2023-2025 годы»</t>
  </si>
  <si>
    <t>Муниципальная программа «Семья и дети» на 2022-2024 годы</t>
  </si>
  <si>
    <t>Реализация мероприятий подпрограммы «Общепрограммные расходы муниципальной программы «Семья и дети» на 2022-2024 годы»</t>
  </si>
  <si>
    <t>Подпрограмма «Общепрограммные расходы муниципальной программы «Семья и дети» на 2022-2024 годы»</t>
  </si>
  <si>
    <t xml:space="preserve">Муниципальная программа  «Обеспечение общественного порядка и противодействие
преступности на территории Первомайского муниципального района» на 2021-2023 годы
</t>
  </si>
  <si>
    <t>Подпрограмма «Профилактика правонарушений на территории Первомайского муниципального района» на 2021-2023 годы</t>
  </si>
  <si>
    <t>Подпрограмма «Профилактика безнадзорности, правонарушений и защита прав несовершеннолетних Первомайского муниципального района» на 2021-2023 годы</t>
  </si>
  <si>
    <t>Реализация мероприятий подпрограммы «Профилактика безнадзорности, правонарушений и защита прав несовершеннолетних Первомайского муниципального района» на 2021-2023 годы</t>
  </si>
  <si>
    <t>Подпрограмма «Профилактика терроризма и экстремизма на территории Первомайского муниципального района» на 2021-2023 годы</t>
  </si>
  <si>
    <t>Подпрограмма «Противодействие коррупции в Первомайском муниципальном районе» на 2021-2023 годы</t>
  </si>
  <si>
    <t>Муниципальная программа «Патриотическое воспитание граждан Российской Федерации, проживающих на территории Первомайского муниципального района на 2022-2024 годы»</t>
  </si>
  <si>
    <t>Подпрограмма «Общепрограммные расходы муниципальной программы «Патриотическое воспитание граждан Российской Федерации, проживающих на территории Первомайского муниципального района на 2022-2024 годы»</t>
  </si>
  <si>
    <t>Реализация мероприятий подпрограммы «Общепрограммные расходы муниципальной программы «Патриотическое воспитание граждан Российской Федерации, проживающих на территории Первомайского муниципального района на 2022-2024 годы»</t>
  </si>
  <si>
    <t>Муниципальная программа «Защита населения и территории Первомайского муниципального района от чрезвычайных ситуаций, обеспечение пожарной безопасности и безопасности людей на водных объектах» на 2022-2024 годы</t>
  </si>
  <si>
    <t>Подпрограмма «Общепрограммные расходы муниципальной программы «Защита населения и территории Первомайского муниципального района от чрезвычайных ситуаций, обеспечение пожарной безопасности и безопасности людей на водных объектах» на 2022-2024 годы»</t>
  </si>
  <si>
    <t>Муниципальная программа «Развитие культуры  в Первомайском муниципальном районе» на 2022-2025 годы</t>
  </si>
  <si>
    <t>Подпрограмма «Ведомственная целевая программа «Развитие культуры в Первомайском муниципальном районе»»на 2022-2025 годы</t>
  </si>
  <si>
    <t>Подрограмма «Развитие библиотечного обслуживания населения и материально-технической базы библиотек» на 2022-2025 годы</t>
  </si>
  <si>
    <t>Муниципальная программа «Молодёжь» на 2022-2024 годы</t>
  </si>
  <si>
    <t>Подпрограмма «Общепрограммные расходы муниципальной программы «Молодёжь» на 2022-2024 годы»</t>
  </si>
  <si>
    <t>Реализация мероприятий подпрограммы «Общепрограммные расходы муниципальной программы «Молодёжь» на 2022-2024 годы»</t>
  </si>
  <si>
    <t>Муниципальная программа «Развитие физической культуры и спорта в Первомайском муниципальном районе» на 2023-2025 годы</t>
  </si>
  <si>
    <t>Подпрограмма «Ведомственная целевая программа муниципального учреждения «Спортивный комплекс «Надежда» Первомайского муниципального района Ярославской области» на 2023-2025 годы</t>
  </si>
  <si>
    <t>Реализация мероприятий Подпрограммы «Ведомственная целевая программа муниципального учреждения «Спортивный комплекс «Надежда» Первомайского муниципального района Ярославской области» на 2023-2025 годы</t>
  </si>
  <si>
    <t>Муниципальная программа  «Развитие субъектов малого и среднего предпринимательства Первомайского муниципального района» на 2022-2024 годы</t>
  </si>
  <si>
    <t xml:space="preserve">Подпрограмма «Общепрограммные расходы муниципальной программы «Развитие субъектов малого и среднего предпринимательства Первомайского муниципального района» на 2022-2024 годы»
</t>
  </si>
  <si>
    <t xml:space="preserve">Реализация мероприятий подпрограммы  «Общепрограммные расходы муниципальной программы «Развитие субъектов малого и среднего предпринимательства Первомайского муниципального района» на 2022-2024 годы»
</t>
  </si>
  <si>
    <t>Муниципальная программа «Эффективная власть в Первомайском муниципальном районе» на 2023-2025 годы</t>
  </si>
  <si>
    <t xml:space="preserve"> Подпрограмма «Развитие муниципальной службы в Первомайском муниципальном районе» на 2023-2025 годы</t>
  </si>
  <si>
    <t>Реализация мероприятий Подпрограммы «Развитие муниципальной службы в Первомайском муниципальном районе» на 2023-2025 годы</t>
  </si>
  <si>
    <t>Подпрограмма  «Ведомственная целевая программа МУ Центр обеспечения функционирования органов местного самоуправления Первомайского муниципального района» на 2023 - 2025 годы</t>
  </si>
  <si>
    <t>Реализация мероприятий Подпрограммы «Ведомственная целевая программа МУ Центр обеспечения функционирования органов местного самоуправления Первомайского муниципального района» на 2023 - 2025 годы</t>
  </si>
  <si>
    <t>Муниципальная программа «Повышение эффективности использования муниципального имущества Первомайского муниципального района» на 2022-2024 годы</t>
  </si>
  <si>
    <t>Подпрограмма «Общепрограммные расходы муниципальной программы «Повышение эффективности использования муниципального имущества Первомайского муниципального района» на 2022-2024 годы»</t>
  </si>
  <si>
    <t>Муниципальная программа  «Информационное общество в Первомайском муниципальном районе» на 2022-2024 годы</t>
  </si>
  <si>
    <t>Подпрограмма  «Информационная среда» на 2022-2024 годы</t>
  </si>
  <si>
    <t>Реализация мероприятий подпрограммы «Информационная среда» на 2022-2024 годы</t>
  </si>
  <si>
    <t>Муниципальная программа  «Развитие дорожного хозяйства и транспорта в Первомайском муниципальном районе» на 2023-2025 годы</t>
  </si>
  <si>
    <t>Подпрограмма «Развитие сети автомобильных дорог общего пользования местного значения Первомайского муниципального района» на 2023-2025 годы</t>
  </si>
  <si>
    <t>Реализация мероприятий подпрограммы «Развитие сети автомобильных дорог общего пользования местного значения Первомайского муниципального района» на 2023-2025 годы</t>
  </si>
  <si>
    <t>Подпрограмма «Транспортное обслуживание населения Первомайского муниципального района на 2023-2025 годы»</t>
  </si>
  <si>
    <t>Муниципальная программа «Энергосбережение и повышение энергоэффективности в Первомайском муниципальном районе» на 2023 -2025 годы</t>
  </si>
  <si>
    <t>Подпрграмма «Общепрограммные расходы муниципальной программы «Энергосбережение и повышение энергоэффективности в Первомайском муниципальном районе» на 2023 -2025 годы»</t>
  </si>
  <si>
    <t>Муниципальная программа  «Создание условий для эффективного управления муниципальными финансами в Первомайском муниципальном районе» на 2023-2025 годы</t>
  </si>
  <si>
    <t>Подпрограмма «Выравнивание уровня бюджетной обеспеченности поселений Первомайского муниципального района» на 2023-2025 годы</t>
  </si>
  <si>
    <t>Подпрограмма «Повышение эффективности управления муниципальными финансами Первомайского муниципального района» на 2023-2025 годы</t>
  </si>
  <si>
    <t>Муниципальная программа «Газификация и модернизация жилищно-коммунального хозяйства Первомайского муниципального района» на 2018-2025 годы</t>
  </si>
  <si>
    <t>Подпрограмма «Общепрограммные расходы муниципальной программы «Газификация и модернизация жилищно-коммунального хозяйства Первомайского муниципального района» на 2018-2025 годы»</t>
  </si>
  <si>
    <t>Муниципальная программа «Развитие сельского хозяйства в Первомайском муниципальном районе» в 2023-2025 годах</t>
  </si>
  <si>
    <t>Подпрограмма «Общепрограммные расходы муниципальной программы «Развитие сельского хозяйства в Первомайском муниципальном районе» в 2023-2025 годах</t>
  </si>
  <si>
    <t>02.1.01.71460</t>
  </si>
  <si>
    <t xml:space="preserve"> Организация образовательного процесса</t>
  </si>
  <si>
    <t xml:space="preserve">Реализация мероприятий по развитию сельскохозяйственного производства </t>
  </si>
  <si>
    <t>Содержание контрольно-счетной палаты муниципального района</t>
  </si>
  <si>
    <t>Руководитель контрольно-счетной палаты муниципального района</t>
  </si>
  <si>
    <t>25.1.03.00000</t>
  </si>
  <si>
    <t>25.1.03.L5990</t>
  </si>
  <si>
    <t>Мероприятия, направленные на подготовку проектов межевания земельных участков и на проведение кадастровых работ</t>
  </si>
  <si>
    <t>Привлечение инвесторов для развития сельскохозяйственной отрасли муниципального района</t>
  </si>
  <si>
    <t xml:space="preserve">к решению Собрания Представителей Первомайского муниципального района                                 от 19.04.2023 года  № ___
</t>
  </si>
  <si>
    <t xml:space="preserve">"Приложение 3 к решению Собрания  Представителей Первомайского муниципального района                                               от 22.12.2022 года № 172
( в редакции решения Собрания Представителей   Первомайского муниципального района                                                                                                                                                            от 19.04.2023 года № ___)"                                                     
</t>
  </si>
  <si>
    <t>Расходы на обеспечение государственных полномочий по организации деятельности территориальных комиссий по делам несовершеннолетних и защите их прав</t>
  </si>
  <si>
    <t>24.1.01.67350</t>
  </si>
  <si>
    <t>24.1.01.77350</t>
  </si>
  <si>
    <t>Расходы на приведение в нормативное состояние автомобильных дорог местного значения, обеспечивающих подъезды к объектам социального назначения в рамках софинансирования</t>
  </si>
  <si>
    <t>Расходы на приведение в нормативное состояние автомобильных дорог местного значения, обеспечивающих подъезды к объектам социального назначения за счет субсидии из областного бюджета</t>
  </si>
  <si>
    <t>Приложение 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</si>
</sst>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"/>
    <numFmt numFmtId="179" formatCode="d/m/yy;@"/>
    <numFmt numFmtId="180" formatCode="d/m/yyyy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02">
    <xf numFmtId="0" fontId="0" fillId="0" borderId="0" xfId="0" applyFont="1" applyAlignment="1">
      <alignment/>
    </xf>
    <xf numFmtId="3" fontId="4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3" fontId="3" fillId="0" borderId="10" xfId="53" applyNumberFormat="1" applyFont="1" applyFill="1" applyBorder="1" applyAlignment="1" applyProtection="1">
      <alignment horizontal="right" vertical="top"/>
      <protection hidden="1"/>
    </xf>
    <xf numFmtId="172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1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178" fontId="4" fillId="0" borderId="10" xfId="53" applyNumberFormat="1" applyFont="1" applyFill="1" applyBorder="1" applyAlignment="1" applyProtection="1">
      <alignment horizontal="center" vertical="top"/>
      <protection hidden="1"/>
    </xf>
    <xf numFmtId="38" fontId="4" fillId="0" borderId="10" xfId="53" applyNumberFormat="1" applyFont="1" applyFill="1" applyBorder="1" applyAlignment="1" applyProtection="1">
      <alignment horizontal="right" vertical="top"/>
      <protection hidden="1"/>
    </xf>
    <xf numFmtId="40" fontId="4" fillId="0" borderId="10" xfId="53" applyNumberFormat="1" applyFont="1" applyFill="1" applyBorder="1" applyAlignment="1" applyProtection="1">
      <alignment horizontal="right" vertical="top"/>
      <protection hidden="1"/>
    </xf>
    <xf numFmtId="49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4" fillId="0" borderId="10" xfId="53" applyFont="1" applyBorder="1" applyAlignment="1" applyProtection="1">
      <alignment vertical="top"/>
      <protection hidden="1"/>
    </xf>
    <xf numFmtId="0" fontId="4" fillId="0" borderId="11" xfId="53" applyFont="1" applyBorder="1" applyProtection="1">
      <alignment/>
      <protection hidden="1"/>
    </xf>
    <xf numFmtId="38" fontId="3" fillId="0" borderId="10" xfId="53" applyNumberFormat="1" applyFont="1" applyFill="1" applyBorder="1" applyAlignment="1" applyProtection="1">
      <alignment horizontal="right" vertical="top"/>
      <protection hidden="1"/>
    </xf>
    <xf numFmtId="0" fontId="2" fillId="0" borderId="16" xfId="53" applyBorder="1" applyProtection="1">
      <alignment/>
      <protection hidden="1"/>
    </xf>
    <xf numFmtId="0" fontId="4" fillId="32" borderId="11" xfId="53" applyFont="1" applyFill="1" applyBorder="1" applyProtection="1">
      <alignment/>
      <protection hidden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  <xf numFmtId="0" fontId="2" fillId="32" borderId="0" xfId="53" applyFont="1" applyFill="1">
      <alignment/>
      <protection/>
    </xf>
    <xf numFmtId="0" fontId="4" fillId="33" borderId="11" xfId="53" applyFont="1" applyFill="1" applyBorder="1" applyProtection="1">
      <alignment/>
      <protection hidden="1"/>
    </xf>
    <xf numFmtId="0" fontId="2" fillId="33" borderId="0" xfId="53" applyFont="1" applyFill="1">
      <alignment/>
      <protection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1" xfId="53" applyFont="1" applyFill="1" applyBorder="1" applyProtection="1">
      <alignment/>
      <protection hidden="1"/>
    </xf>
    <xf numFmtId="0" fontId="4" fillId="34" borderId="15" xfId="53" applyNumberFormat="1" applyFont="1" applyFill="1" applyBorder="1" applyAlignment="1" applyProtection="1">
      <alignment horizontal="center" vertical="center"/>
      <protection hidden="1"/>
    </xf>
    <xf numFmtId="0" fontId="4" fillId="34" borderId="16" xfId="53" applyNumberFormat="1" applyFont="1" applyFill="1" applyBorder="1" applyAlignment="1" applyProtection="1">
      <alignment horizontal="center" vertical="center"/>
      <protection hidden="1"/>
    </xf>
    <xf numFmtId="0" fontId="2" fillId="34" borderId="0" xfId="53" applyFont="1" applyFill="1">
      <alignment/>
      <protection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3" fillId="33" borderId="15" xfId="53" applyNumberFormat="1" applyFont="1" applyFill="1" applyBorder="1" applyAlignment="1" applyProtection="1">
      <alignment horizontal="center" vertical="center"/>
      <protection hidden="1"/>
    </xf>
    <xf numFmtId="0" fontId="3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32" borderId="15" xfId="53" applyNumberFormat="1" applyFont="1" applyFill="1" applyBorder="1" applyAlignment="1" applyProtection="1">
      <alignment horizontal="center" vertical="center"/>
      <protection hidden="1"/>
    </xf>
    <xf numFmtId="0" fontId="5" fillId="32" borderId="16" xfId="53" applyNumberFormat="1" applyFont="1" applyFill="1" applyBorder="1" applyAlignment="1" applyProtection="1">
      <alignment horizontal="center" vertical="center"/>
      <protection hidden="1"/>
    </xf>
    <xf numFmtId="0" fontId="3" fillId="32" borderId="15" xfId="53" applyNumberFormat="1" applyFont="1" applyFill="1" applyBorder="1" applyAlignment="1" applyProtection="1">
      <alignment horizontal="center" vertical="center"/>
      <protection hidden="1"/>
    </xf>
    <xf numFmtId="0" fontId="3" fillId="32" borderId="16" xfId="53" applyNumberFormat="1" applyFont="1" applyFill="1" applyBorder="1" applyAlignment="1" applyProtection="1">
      <alignment horizontal="center" vertical="center"/>
      <protection hidden="1"/>
    </xf>
    <xf numFmtId="0" fontId="5" fillId="32" borderId="12" xfId="53" applyNumberFormat="1" applyFont="1" applyFill="1" applyBorder="1" applyAlignment="1" applyProtection="1">
      <alignment horizontal="center" vertical="center"/>
      <protection hidden="1"/>
    </xf>
    <xf numFmtId="0" fontId="5" fillId="32" borderId="13" xfId="53" applyNumberFormat="1" applyFont="1" applyFill="1" applyBorder="1" applyAlignment="1" applyProtection="1">
      <alignment horizontal="center" vertical="center"/>
      <protection hidden="1"/>
    </xf>
    <xf numFmtId="0" fontId="4" fillId="35" borderId="11" xfId="53" applyFont="1" applyFill="1" applyBorder="1" applyProtection="1">
      <alignment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2" fillId="35" borderId="0" xfId="53" applyFont="1" applyFill="1">
      <alignment/>
      <protection/>
    </xf>
    <xf numFmtId="0" fontId="5" fillId="35" borderId="15" xfId="53" applyNumberFormat="1" applyFont="1" applyFill="1" applyBorder="1" applyAlignment="1" applyProtection="1">
      <alignment horizontal="center" vertical="center"/>
      <protection hidden="1"/>
    </xf>
    <xf numFmtId="0" fontId="5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2" xfId="53" applyNumberFormat="1" applyFont="1" applyFill="1" applyBorder="1" applyAlignment="1" applyProtection="1">
      <alignment horizontal="center" vertical="center"/>
      <protection hidden="1"/>
    </xf>
    <xf numFmtId="0" fontId="4" fillId="35" borderId="13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3" fillId="35" borderId="15" xfId="53" applyNumberFormat="1" applyFont="1" applyFill="1" applyBorder="1" applyAlignment="1" applyProtection="1">
      <alignment horizontal="center" vertical="center"/>
      <protection hidden="1"/>
    </xf>
    <xf numFmtId="0" fontId="3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14" borderId="11" xfId="53" applyFont="1" applyFill="1" applyBorder="1" applyProtection="1">
      <alignment/>
      <protection hidden="1"/>
    </xf>
    <xf numFmtId="0" fontId="2" fillId="14" borderId="0" xfId="53" applyFont="1" applyFill="1">
      <alignment/>
      <protection/>
    </xf>
    <xf numFmtId="0" fontId="4" fillId="14" borderId="15" xfId="53" applyNumberFormat="1" applyFont="1" applyFill="1" applyBorder="1" applyAlignment="1" applyProtection="1">
      <alignment horizontal="center" vertical="center"/>
      <protection hidden="1"/>
    </xf>
    <xf numFmtId="0" fontId="4" fillId="14" borderId="16" xfId="53" applyNumberFormat="1" applyFont="1" applyFill="1" applyBorder="1" applyAlignment="1" applyProtection="1">
      <alignment horizontal="center" vertical="center"/>
      <protection hidden="1"/>
    </xf>
    <xf numFmtId="0" fontId="3" fillId="14" borderId="15" xfId="53" applyNumberFormat="1" applyFont="1" applyFill="1" applyBorder="1" applyAlignment="1" applyProtection="1">
      <alignment horizontal="center" vertical="center"/>
      <protection hidden="1"/>
    </xf>
    <xf numFmtId="0" fontId="3" fillId="14" borderId="16" xfId="53" applyNumberFormat="1" applyFont="1" applyFill="1" applyBorder="1" applyAlignment="1" applyProtection="1">
      <alignment horizontal="center" vertical="center"/>
      <protection hidden="1"/>
    </xf>
    <xf numFmtId="0" fontId="4" fillId="36" borderId="11" xfId="53" applyFont="1" applyFill="1" applyBorder="1" applyProtection="1">
      <alignment/>
      <protection hidden="1"/>
    </xf>
    <xf numFmtId="0" fontId="2" fillId="36" borderId="0" xfId="53" applyFont="1" applyFill="1">
      <alignment/>
      <protection/>
    </xf>
    <xf numFmtId="0" fontId="5" fillId="36" borderId="12" xfId="53" applyNumberFormat="1" applyFont="1" applyFill="1" applyBorder="1" applyAlignment="1" applyProtection="1">
      <alignment horizontal="center" vertical="center"/>
      <protection hidden="1"/>
    </xf>
    <xf numFmtId="0" fontId="5" fillId="36" borderId="13" xfId="53" applyNumberFormat="1" applyFont="1" applyFill="1" applyBorder="1" applyAlignment="1" applyProtection="1">
      <alignment horizontal="center" vertical="center"/>
      <protection hidden="1"/>
    </xf>
    <xf numFmtId="0" fontId="4" fillId="37" borderId="11" xfId="53" applyFont="1" applyFill="1" applyBorder="1" applyProtection="1">
      <alignment/>
      <protection hidden="1"/>
    </xf>
    <xf numFmtId="0" fontId="2" fillId="37" borderId="0" xfId="53" applyFont="1" applyFill="1">
      <alignment/>
      <protection/>
    </xf>
    <xf numFmtId="0" fontId="5" fillId="37" borderId="12" xfId="53" applyNumberFormat="1" applyFont="1" applyFill="1" applyBorder="1" applyAlignment="1" applyProtection="1">
      <alignment horizontal="center" vertical="center"/>
      <protection hidden="1"/>
    </xf>
    <xf numFmtId="0" fontId="5" fillId="37" borderId="13" xfId="53" applyNumberFormat="1" applyFont="1" applyFill="1" applyBorder="1" applyAlignment="1" applyProtection="1">
      <alignment horizontal="center" vertical="center"/>
      <protection hidden="1"/>
    </xf>
    <xf numFmtId="0" fontId="5" fillId="37" borderId="15" xfId="53" applyNumberFormat="1" applyFont="1" applyFill="1" applyBorder="1" applyAlignment="1" applyProtection="1">
      <alignment horizontal="center" vertical="center"/>
      <protection hidden="1"/>
    </xf>
    <xf numFmtId="0" fontId="5" fillId="37" borderId="16" xfId="53" applyNumberFormat="1" applyFont="1" applyFill="1" applyBorder="1" applyAlignment="1" applyProtection="1">
      <alignment horizontal="center" vertical="center"/>
      <protection hidden="1"/>
    </xf>
    <xf numFmtId="0" fontId="4" fillId="38" borderId="11" xfId="53" applyFont="1" applyFill="1" applyBorder="1" applyProtection="1">
      <alignment/>
      <protection hidden="1"/>
    </xf>
    <xf numFmtId="0" fontId="2" fillId="38" borderId="0" xfId="53" applyFont="1" applyFill="1">
      <alignment/>
      <protection/>
    </xf>
    <xf numFmtId="0" fontId="5" fillId="38" borderId="12" xfId="53" applyNumberFormat="1" applyFont="1" applyFill="1" applyBorder="1" applyAlignment="1" applyProtection="1">
      <alignment horizontal="center" vertical="center"/>
      <protection hidden="1"/>
    </xf>
    <xf numFmtId="0" fontId="5" fillId="38" borderId="13" xfId="53" applyNumberFormat="1" applyFont="1" applyFill="1" applyBorder="1" applyAlignment="1" applyProtection="1">
      <alignment horizontal="center" vertical="center"/>
      <protection hidden="1"/>
    </xf>
    <xf numFmtId="0" fontId="4" fillId="38" borderId="15" xfId="53" applyNumberFormat="1" applyFont="1" applyFill="1" applyBorder="1" applyAlignment="1" applyProtection="1">
      <alignment horizontal="center" vertical="center"/>
      <protection hidden="1"/>
    </xf>
    <xf numFmtId="0" fontId="4" fillId="38" borderId="16" xfId="53" applyNumberFormat="1" applyFont="1" applyFill="1" applyBorder="1" applyAlignment="1" applyProtection="1">
      <alignment horizontal="center" vertical="center"/>
      <protection hidden="1"/>
    </xf>
    <xf numFmtId="0" fontId="4" fillId="39" borderId="11" xfId="53" applyFont="1" applyFill="1" applyBorder="1" applyProtection="1">
      <alignment/>
      <protection hidden="1"/>
    </xf>
    <xf numFmtId="0" fontId="3" fillId="39" borderId="15" xfId="53" applyNumberFormat="1" applyFont="1" applyFill="1" applyBorder="1" applyAlignment="1" applyProtection="1">
      <alignment horizontal="center" vertical="center"/>
      <protection hidden="1"/>
    </xf>
    <xf numFmtId="0" fontId="3" fillId="39" borderId="16" xfId="53" applyNumberFormat="1" applyFont="1" applyFill="1" applyBorder="1" applyAlignment="1" applyProtection="1">
      <alignment horizontal="center" vertical="center"/>
      <protection hidden="1"/>
    </xf>
    <xf numFmtId="0" fontId="2" fillId="39" borderId="0" xfId="53" applyFont="1" applyFill="1">
      <alignment/>
      <protection/>
    </xf>
    <xf numFmtId="0" fontId="4" fillId="40" borderId="11" xfId="53" applyFont="1" applyFill="1" applyBorder="1" applyProtection="1">
      <alignment/>
      <protection hidden="1"/>
    </xf>
    <xf numFmtId="0" fontId="5" fillId="40" borderId="12" xfId="53" applyNumberFormat="1" applyFont="1" applyFill="1" applyBorder="1" applyAlignment="1" applyProtection="1">
      <alignment horizontal="center" vertical="center"/>
      <protection hidden="1"/>
    </xf>
    <xf numFmtId="0" fontId="5" fillId="40" borderId="13" xfId="53" applyNumberFormat="1" applyFont="1" applyFill="1" applyBorder="1" applyAlignment="1" applyProtection="1">
      <alignment horizontal="center" vertical="center"/>
      <protection hidden="1"/>
    </xf>
    <xf numFmtId="0" fontId="2" fillId="40" borderId="0" xfId="53" applyFont="1" applyFill="1">
      <alignment/>
      <protection/>
    </xf>
    <xf numFmtId="0" fontId="4" fillId="41" borderId="11" xfId="53" applyFont="1" applyFill="1" applyBorder="1" applyProtection="1">
      <alignment/>
      <protection hidden="1"/>
    </xf>
    <xf numFmtId="0" fontId="2" fillId="41" borderId="0" xfId="53" applyFont="1" applyFill="1">
      <alignment/>
      <protection/>
    </xf>
    <xf numFmtId="0" fontId="3" fillId="41" borderId="15" xfId="53" applyNumberFormat="1" applyFont="1" applyFill="1" applyBorder="1" applyAlignment="1" applyProtection="1">
      <alignment horizontal="center" vertical="center"/>
      <protection hidden="1"/>
    </xf>
    <xf numFmtId="0" fontId="3" fillId="41" borderId="16" xfId="53" applyNumberFormat="1" applyFont="1" applyFill="1" applyBorder="1" applyAlignment="1" applyProtection="1">
      <alignment horizontal="center" vertical="center"/>
      <protection hidden="1"/>
    </xf>
    <xf numFmtId="0" fontId="4" fillId="40" borderId="15" xfId="53" applyNumberFormat="1" applyFont="1" applyFill="1" applyBorder="1" applyAlignment="1" applyProtection="1">
      <alignment horizontal="center" vertical="center"/>
      <protection hidden="1"/>
    </xf>
    <xf numFmtId="0" fontId="4" fillId="4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Font="1" applyFill="1" applyBorder="1" applyProtection="1">
      <alignment/>
      <protection hidden="1"/>
    </xf>
    <xf numFmtId="0" fontId="15" fillId="0" borderId="0" xfId="53" applyFont="1" applyFill="1">
      <alignment/>
      <protection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14" borderId="15" xfId="53" applyNumberFormat="1" applyFont="1" applyFill="1" applyBorder="1" applyAlignment="1" applyProtection="1">
      <alignment horizontal="center" vertical="center"/>
      <protection hidden="1"/>
    </xf>
    <xf numFmtId="0" fontId="4" fillId="14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16" fillId="0" borderId="17" xfId="53" applyNumberFormat="1" applyFont="1" applyFill="1" applyBorder="1" applyAlignment="1" applyProtection="1">
      <alignment horizontal="center" vertical="center" wrapText="1"/>
      <protection hidden="1"/>
    </xf>
    <xf numFmtId="3" fontId="4" fillId="33" borderId="14" xfId="53" applyNumberFormat="1" applyFont="1" applyFill="1" applyBorder="1" applyAlignment="1" applyProtection="1">
      <alignment horizontal="right" vertical="top"/>
      <protection hidden="1"/>
    </xf>
    <xf numFmtId="3" fontId="3" fillId="33" borderId="14" xfId="53" applyNumberFormat="1" applyFont="1" applyFill="1" applyBorder="1" applyAlignment="1" applyProtection="1">
      <alignment horizontal="right" vertical="top"/>
      <protection hidden="1"/>
    </xf>
    <xf numFmtId="3" fontId="4" fillId="0" borderId="10" xfId="53" applyNumberFormat="1" applyFont="1" applyFill="1" applyBorder="1" applyAlignment="1">
      <alignment horizontal="right" vertical="top"/>
      <protection/>
    </xf>
    <xf numFmtId="3" fontId="5" fillId="0" borderId="10" xfId="53" applyNumberFormat="1" applyFont="1" applyFill="1" applyBorder="1" applyAlignment="1">
      <alignment horizontal="right" vertical="top"/>
      <protection/>
    </xf>
    <xf numFmtId="3" fontId="3" fillId="0" borderId="10" xfId="53" applyNumberFormat="1" applyFont="1" applyFill="1" applyBorder="1" applyAlignment="1">
      <alignment horizontal="right" vertical="top"/>
      <protection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17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4" fillId="14" borderId="15" xfId="53" applyNumberFormat="1" applyFont="1" applyFill="1" applyBorder="1" applyAlignment="1" applyProtection="1">
      <alignment horizontal="center" vertical="center"/>
      <protection hidden="1"/>
    </xf>
    <xf numFmtId="0" fontId="4" fillId="14" borderId="16" xfId="53" applyNumberFormat="1" applyFont="1" applyFill="1" applyBorder="1" applyAlignment="1" applyProtection="1">
      <alignment horizontal="center" vertical="center"/>
      <protection hidden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0" xfId="53" applyNumberFormat="1" applyFont="1" applyFill="1" applyBorder="1" applyAlignment="1" applyProtection="1">
      <alignment horizontal="center" vertical="top"/>
      <protection hidden="1"/>
    </xf>
    <xf numFmtId="172" fontId="4" fillId="0" borderId="10" xfId="53" applyNumberFormat="1" applyFont="1" applyFill="1" applyBorder="1" applyAlignment="1" applyProtection="1">
      <alignment horizontal="center" vertical="top"/>
      <protection hidden="1"/>
    </xf>
    <xf numFmtId="3" fontId="5" fillId="0" borderId="10" xfId="53" applyNumberFormat="1" applyFont="1" applyFill="1" applyBorder="1" applyAlignment="1" applyProtection="1">
      <alignment horizontal="right" vertical="top"/>
      <protection hidden="1"/>
    </xf>
    <xf numFmtId="3" fontId="4" fillId="0" borderId="10" xfId="53" applyNumberFormat="1" applyFont="1" applyFill="1" applyBorder="1" applyAlignment="1" applyProtection="1">
      <alignment horizontal="center" vertical="top"/>
      <protection hidden="1"/>
    </xf>
    <xf numFmtId="3" fontId="4" fillId="0" borderId="10" xfId="53" applyNumberFormat="1" applyFont="1" applyFill="1" applyBorder="1">
      <alignment/>
      <protection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16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  <xf numFmtId="0" fontId="3" fillId="0" borderId="19" xfId="53" applyNumberFormat="1" applyFont="1" applyFill="1" applyBorder="1" applyAlignment="1" applyProtection="1">
      <alignment horizontal="center" vertical="top"/>
      <protection hidden="1"/>
    </xf>
    <xf numFmtId="172" fontId="3" fillId="0" borderId="19" xfId="53" applyNumberFormat="1" applyFont="1" applyFill="1" applyBorder="1" applyAlignment="1" applyProtection="1">
      <alignment horizontal="center" vertical="top"/>
      <protection hidden="1"/>
    </xf>
    <xf numFmtId="3" fontId="3" fillId="0" borderId="19" xfId="53" applyNumberFormat="1" applyFont="1" applyFill="1" applyBorder="1" applyAlignment="1" applyProtection="1">
      <alignment horizontal="right" vertical="top"/>
      <protection hidden="1"/>
    </xf>
    <xf numFmtId="3" fontId="3" fillId="0" borderId="19" xfId="53" applyNumberFormat="1" applyFont="1" applyFill="1" applyBorder="1" applyAlignment="1">
      <alignment horizontal="right" vertical="top"/>
      <protection/>
    </xf>
    <xf numFmtId="0" fontId="16" fillId="0" borderId="20" xfId="53" applyNumberFormat="1" applyFont="1" applyFill="1" applyBorder="1" applyAlignment="1" applyProtection="1">
      <alignment horizontal="center" vertical="center" wrapText="1"/>
      <protection hidden="1"/>
    </xf>
    <xf numFmtId="3" fontId="3" fillId="0" borderId="21" xfId="53" applyNumberFormat="1" applyFont="1" applyFill="1" applyBorder="1" applyAlignment="1">
      <alignment horizontal="right" vertical="top"/>
      <protection/>
    </xf>
    <xf numFmtId="3" fontId="3" fillId="0" borderId="14" xfId="53" applyNumberFormat="1" applyFont="1" applyFill="1" applyBorder="1" applyAlignment="1">
      <alignment horizontal="right" vertical="top"/>
      <protection/>
    </xf>
    <xf numFmtId="3" fontId="4" fillId="0" borderId="0" xfId="53" applyNumberFormat="1" applyFont="1" applyFill="1" applyBorder="1" applyAlignment="1">
      <alignment horizontal="right" vertical="top"/>
      <protection/>
    </xf>
    <xf numFmtId="3" fontId="4" fillId="0" borderId="14" xfId="53" applyNumberFormat="1" applyFont="1" applyFill="1" applyBorder="1" applyAlignment="1">
      <alignment horizontal="right" vertical="top"/>
      <protection/>
    </xf>
    <xf numFmtId="3" fontId="5" fillId="0" borderId="14" xfId="53" applyNumberFormat="1" applyFont="1" applyFill="1" applyBorder="1" applyAlignment="1">
      <alignment horizontal="right" vertical="top"/>
      <protection/>
    </xf>
    <xf numFmtId="0" fontId="17" fillId="0" borderId="22" xfId="53" applyFont="1" applyFill="1" applyBorder="1" applyAlignment="1">
      <alignment horizontal="center" vertical="center" wrapText="1"/>
      <protection/>
    </xf>
    <xf numFmtId="3" fontId="10" fillId="0" borderId="0" xfId="53" applyNumberFormat="1" applyFont="1" applyFill="1" applyAlignment="1">
      <alignment horizontal="center"/>
      <protection/>
    </xf>
    <xf numFmtId="3" fontId="10" fillId="0" borderId="0" xfId="53" applyNumberFormat="1" applyFont="1" applyFill="1" applyAlignment="1" applyProtection="1">
      <alignment horizontal="center"/>
      <protection hidden="1"/>
    </xf>
    <xf numFmtId="3" fontId="3" fillId="0" borderId="19" xfId="53" applyNumberFormat="1" applyFont="1" applyFill="1" applyBorder="1" applyAlignment="1" applyProtection="1">
      <alignment horizontal="center" vertical="top"/>
      <protection hidden="1"/>
    </xf>
    <xf numFmtId="3" fontId="3" fillId="0" borderId="10" xfId="53" applyNumberFormat="1" applyFont="1" applyFill="1" applyBorder="1" applyAlignment="1" applyProtection="1">
      <alignment horizontal="center" vertical="top"/>
      <protection hidden="1"/>
    </xf>
    <xf numFmtId="3" fontId="11" fillId="0" borderId="10" xfId="53" applyNumberFormat="1" applyFont="1" applyFill="1" applyBorder="1" applyAlignment="1" applyProtection="1">
      <alignment horizontal="center" vertical="top"/>
      <protection hidden="1"/>
    </xf>
    <xf numFmtId="3" fontId="10" fillId="0" borderId="10" xfId="53" applyNumberFormat="1" applyFont="1" applyFill="1" applyBorder="1" applyAlignment="1">
      <alignment horizontal="center"/>
      <protection/>
    </xf>
    <xf numFmtId="3" fontId="3" fillId="0" borderId="10" xfId="53" applyNumberFormat="1" applyFont="1" applyFill="1" applyBorder="1" applyAlignment="1" applyProtection="1">
      <alignment horizontal="center"/>
      <protection hidden="1"/>
    </xf>
    <xf numFmtId="3" fontId="5" fillId="0" borderId="10" xfId="53" applyNumberFormat="1" applyFont="1" applyFill="1" applyBorder="1" applyAlignment="1" applyProtection="1">
      <alignment horizontal="center" vertical="top"/>
      <protection hidden="1"/>
    </xf>
    <xf numFmtId="49" fontId="5" fillId="0" borderId="10" xfId="53" applyNumberFormat="1" applyFont="1" applyFill="1" applyBorder="1" applyAlignment="1" applyProtection="1">
      <alignment horizontal="center" vertical="top"/>
      <protection hidden="1"/>
    </xf>
    <xf numFmtId="0" fontId="17" fillId="0" borderId="0" xfId="53" applyFont="1" applyFill="1" applyAlignment="1" applyProtection="1">
      <alignment vertical="center" wrapText="1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49" fontId="8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172" fontId="3" fillId="0" borderId="10" xfId="53" applyNumberFormat="1" applyFont="1" applyFill="1" applyBorder="1" applyAlignment="1" applyProtection="1">
      <alignment horizontal="center" vertical="top"/>
      <protection hidden="1"/>
    </xf>
    <xf numFmtId="49" fontId="4" fillId="0" borderId="10" xfId="53" applyNumberFormat="1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 horizontal="center" vertical="top" wrapText="1"/>
    </xf>
    <xf numFmtId="3" fontId="12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righ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14" fontId="7" fillId="0" borderId="10" xfId="0" applyNumberFormat="1" applyFont="1" applyFill="1" applyBorder="1" applyAlignment="1">
      <alignment horizontal="center" vertical="top" wrapText="1"/>
    </xf>
    <xf numFmtId="0" fontId="4" fillId="0" borderId="10" xfId="53" applyFont="1" applyFill="1" applyBorder="1">
      <alignment/>
      <protection/>
    </xf>
    <xf numFmtId="49" fontId="3" fillId="0" borderId="10" xfId="53" applyNumberFormat="1" applyFont="1" applyFill="1" applyBorder="1" applyAlignment="1" applyProtection="1">
      <alignment horizontal="center" vertical="top"/>
      <protection hidden="1"/>
    </xf>
    <xf numFmtId="14" fontId="3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Font="1" applyFill="1" applyBorder="1" applyAlignment="1" applyProtection="1">
      <alignment/>
      <protection hidden="1"/>
    </xf>
    <xf numFmtId="3" fontId="3" fillId="0" borderId="10" xfId="53" applyNumberFormat="1" applyFont="1" applyFill="1" applyBorder="1" applyAlignment="1" applyProtection="1">
      <alignment/>
      <protection hidden="1"/>
    </xf>
    <xf numFmtId="3" fontId="2" fillId="0" borderId="0" xfId="53" applyNumberFormat="1" applyFont="1" applyFill="1">
      <alignment/>
      <protection/>
    </xf>
    <xf numFmtId="0" fontId="55" fillId="0" borderId="10" xfId="0" applyFont="1" applyFill="1" applyBorder="1" applyAlignment="1">
      <alignment vertical="top"/>
    </xf>
    <xf numFmtId="0" fontId="2" fillId="0" borderId="0" xfId="53" applyFont="1" applyFill="1" applyBorder="1">
      <alignment/>
      <protection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3" fontId="17" fillId="0" borderId="23" xfId="53" applyNumberFormat="1" applyFont="1" applyFill="1" applyBorder="1" applyAlignment="1" applyProtection="1">
      <alignment horizontal="center" vertical="center" wrapText="1"/>
      <protection hidden="1"/>
    </xf>
    <xf numFmtId="0" fontId="17" fillId="0" borderId="24" xfId="53" applyNumberFormat="1" applyFont="1" applyFill="1" applyBorder="1" applyAlignment="1" applyProtection="1">
      <alignment horizontal="center" vertical="center" wrapText="1"/>
      <protection hidden="1"/>
    </xf>
    <xf numFmtId="0" fontId="5" fillId="33" borderId="10" xfId="53" applyNumberFormat="1" applyFont="1" applyFill="1" applyBorder="1" applyAlignment="1" applyProtection="1">
      <alignment horizontal="center" vertical="top"/>
      <protection hidden="1"/>
    </xf>
    <xf numFmtId="0" fontId="5" fillId="33" borderId="10" xfId="53" applyNumberFormat="1" applyFont="1" applyFill="1" applyBorder="1" applyAlignment="1" applyProtection="1">
      <alignment horizontal="left" vertical="top" wrapText="1"/>
      <protection hidden="1"/>
    </xf>
    <xf numFmtId="0" fontId="4" fillId="33" borderId="10" xfId="53" applyNumberFormat="1" applyFont="1" applyFill="1" applyBorder="1" applyAlignment="1" applyProtection="1">
      <alignment horizontal="center" vertical="top"/>
      <protection hidden="1"/>
    </xf>
    <xf numFmtId="0" fontId="4" fillId="33" borderId="10" xfId="53" applyNumberFormat="1" applyFont="1" applyFill="1" applyBorder="1" applyAlignment="1" applyProtection="1">
      <alignment horizontal="left" vertical="top" wrapText="1"/>
      <protection hidden="1"/>
    </xf>
    <xf numFmtId="3" fontId="4" fillId="33" borderId="10" xfId="53" applyNumberFormat="1" applyFont="1" applyFill="1" applyBorder="1" applyAlignment="1" applyProtection="1">
      <alignment horizontal="right" vertical="top"/>
      <protection hidden="1"/>
    </xf>
    <xf numFmtId="0" fontId="4" fillId="14" borderId="15" xfId="53" applyNumberFormat="1" applyFont="1" applyFill="1" applyBorder="1" applyAlignment="1" applyProtection="1">
      <alignment horizontal="center" vertical="center"/>
      <protection hidden="1"/>
    </xf>
    <xf numFmtId="0" fontId="4" fillId="14" borderId="16" xfId="53" applyNumberFormat="1" applyFont="1" applyFill="1" applyBorder="1" applyAlignment="1" applyProtection="1">
      <alignment horizontal="center" vertical="center"/>
      <protection hidden="1"/>
    </xf>
    <xf numFmtId="0" fontId="3" fillId="33" borderId="10" xfId="53" applyNumberFormat="1" applyFont="1" applyFill="1" applyBorder="1" applyAlignment="1" applyProtection="1">
      <alignment horizontal="left" vertical="top" wrapText="1"/>
      <protection hidden="1"/>
    </xf>
    <xf numFmtId="0" fontId="4" fillId="33" borderId="25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19" xfId="53" applyNumberFormat="1" applyFont="1" applyFill="1" applyBorder="1" applyAlignment="1" applyProtection="1">
      <alignment horizontal="left" vertical="top" wrapText="1"/>
      <protection hidden="1"/>
    </xf>
    <xf numFmtId="0" fontId="12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0" fontId="4" fillId="33" borderId="10" xfId="53" applyFont="1" applyFill="1" applyBorder="1" applyAlignment="1">
      <alignment wrapText="1"/>
      <protection/>
    </xf>
    <xf numFmtId="0" fontId="3" fillId="33" borderId="10" xfId="53" applyFont="1" applyFill="1" applyBorder="1" applyAlignment="1" applyProtection="1">
      <alignment vertical="top"/>
      <protection hidden="1"/>
    </xf>
    <xf numFmtId="0" fontId="55" fillId="33" borderId="10" xfId="0" applyFont="1" applyFill="1" applyBorder="1" applyAlignment="1">
      <alignment vertical="top" wrapText="1"/>
    </xf>
    <xf numFmtId="0" fontId="2" fillId="33" borderId="10" xfId="53" applyFont="1" applyFill="1" applyBorder="1">
      <alignment/>
      <protection/>
    </xf>
    <xf numFmtId="0" fontId="2" fillId="0" borderId="10" xfId="53" applyFont="1" applyFill="1" applyBorder="1">
      <alignment/>
      <protection/>
    </xf>
    <xf numFmtId="0" fontId="56" fillId="33" borderId="10" xfId="0" applyFont="1" applyFill="1" applyBorder="1" applyAlignment="1">
      <alignment horizontal="left" wrapText="1"/>
    </xf>
    <xf numFmtId="0" fontId="57" fillId="33" borderId="10" xfId="0" applyFont="1" applyFill="1" applyBorder="1" applyAlignment="1">
      <alignment vertical="top" wrapText="1"/>
    </xf>
    <xf numFmtId="0" fontId="57" fillId="33" borderId="10" xfId="0" applyFont="1" applyFill="1" applyBorder="1" applyAlignment="1">
      <alignment vertical="top"/>
    </xf>
    <xf numFmtId="0" fontId="56" fillId="33" borderId="10" xfId="0" applyFont="1" applyFill="1" applyBorder="1" applyAlignment="1">
      <alignment vertical="top" wrapText="1"/>
    </xf>
    <xf numFmtId="0" fontId="58" fillId="33" borderId="10" xfId="0" applyFont="1" applyFill="1" applyBorder="1" applyAlignment="1">
      <alignment vertical="top" wrapText="1"/>
    </xf>
    <xf numFmtId="0" fontId="59" fillId="33" borderId="10" xfId="0" applyFont="1" applyFill="1" applyBorder="1" applyAlignment="1">
      <alignment vertical="top" wrapText="1"/>
    </xf>
    <xf numFmtId="3" fontId="4" fillId="33" borderId="10" xfId="53" applyNumberFormat="1" applyFont="1" applyFill="1" applyBorder="1" applyAlignment="1">
      <alignment horizontal="right" vertical="top"/>
      <protection/>
    </xf>
    <xf numFmtId="0" fontId="55" fillId="33" borderId="10" xfId="0" applyFont="1" applyFill="1" applyBorder="1" applyAlignment="1">
      <alignment horizontal="left" vertical="top" wrapText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Font="1" applyBorder="1" applyAlignment="1" applyProtection="1">
      <alignment horizontal="left" vertical="top"/>
      <protection hidden="1"/>
    </xf>
    <xf numFmtId="178" fontId="3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0" fontId="5" fillId="36" borderId="12" xfId="53" applyNumberFormat="1" applyFont="1" applyFill="1" applyBorder="1" applyAlignment="1" applyProtection="1">
      <alignment horizontal="center" vertical="center"/>
      <protection hidden="1"/>
    </xf>
    <xf numFmtId="0" fontId="5" fillId="36" borderId="13" xfId="53" applyNumberFormat="1" applyFont="1" applyFill="1" applyBorder="1" applyAlignment="1" applyProtection="1">
      <alignment horizontal="center" vertical="center"/>
      <protection hidden="1"/>
    </xf>
    <xf numFmtId="0" fontId="4" fillId="32" borderId="10" xfId="53" applyNumberFormat="1" applyFont="1" applyFill="1" applyBorder="1" applyAlignment="1" applyProtection="1">
      <alignment horizontal="center" vertical="center"/>
      <protection hidden="1"/>
    </xf>
    <xf numFmtId="0" fontId="4" fillId="32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2" xfId="53" applyNumberFormat="1" applyFont="1" applyFill="1" applyBorder="1" applyAlignment="1" applyProtection="1">
      <alignment horizontal="center" vertical="center"/>
      <protection hidden="1"/>
    </xf>
    <xf numFmtId="0" fontId="4" fillId="35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16" fillId="0" borderId="0" xfId="53" applyFont="1" applyFill="1" applyAlignment="1" applyProtection="1">
      <alignment horizontal="right" vertical="top" wrapText="1"/>
      <protection hidden="1"/>
    </xf>
    <xf numFmtId="0" fontId="17" fillId="0" borderId="0" xfId="53" applyFont="1" applyFill="1" applyAlignment="1" applyProtection="1">
      <alignment horizontal="left" vertical="center" wrapText="1"/>
      <protection hidden="1"/>
    </xf>
    <xf numFmtId="0" fontId="4" fillId="35" borderId="10" xfId="53" applyNumberFormat="1" applyFont="1" applyFill="1" applyBorder="1" applyAlignment="1" applyProtection="1">
      <alignment horizontal="center" vertical="center"/>
      <protection hidden="1"/>
    </xf>
    <xf numFmtId="0" fontId="4" fillId="35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3" fillId="41" borderId="15" xfId="53" applyNumberFormat="1" applyFont="1" applyFill="1" applyBorder="1" applyAlignment="1" applyProtection="1">
      <alignment horizontal="center" vertical="center"/>
      <protection hidden="1"/>
    </xf>
    <xf numFmtId="0" fontId="3" fillId="41" borderId="16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3" fillId="36" borderId="15" xfId="53" applyNumberFormat="1" applyFont="1" applyFill="1" applyBorder="1" applyAlignment="1" applyProtection="1">
      <alignment horizontal="center" vertical="center"/>
      <protection hidden="1"/>
    </xf>
    <xf numFmtId="0" fontId="3" fillId="36" borderId="16" xfId="53" applyNumberFormat="1" applyFont="1" applyFill="1" applyBorder="1" applyAlignment="1" applyProtection="1">
      <alignment horizontal="center" vertical="center"/>
      <protection hidden="1"/>
    </xf>
    <xf numFmtId="0" fontId="3" fillId="38" borderId="15" xfId="53" applyNumberFormat="1" applyFont="1" applyFill="1" applyBorder="1" applyAlignment="1" applyProtection="1">
      <alignment horizontal="center" vertical="center"/>
      <protection hidden="1"/>
    </xf>
    <xf numFmtId="0" fontId="3" fillId="38" borderId="16" xfId="53" applyNumberFormat="1" applyFont="1" applyFill="1" applyBorder="1" applyAlignment="1" applyProtection="1">
      <alignment horizontal="center" vertical="center"/>
      <protection hidden="1"/>
    </xf>
    <xf numFmtId="0" fontId="5" fillId="38" borderId="12" xfId="53" applyNumberFormat="1" applyFont="1" applyFill="1" applyBorder="1" applyAlignment="1" applyProtection="1">
      <alignment horizontal="center" vertical="center"/>
      <protection hidden="1"/>
    </xf>
    <xf numFmtId="0" fontId="5" fillId="38" borderId="13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3" fillId="37" borderId="15" xfId="53" applyNumberFormat="1" applyFont="1" applyFill="1" applyBorder="1" applyAlignment="1" applyProtection="1">
      <alignment horizontal="center" vertical="center"/>
      <protection hidden="1"/>
    </xf>
    <xf numFmtId="0" fontId="3" fillId="37" borderId="16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4" fillId="14" borderId="15" xfId="53" applyNumberFormat="1" applyFont="1" applyFill="1" applyBorder="1" applyAlignment="1" applyProtection="1">
      <alignment horizontal="center" vertical="center"/>
      <protection hidden="1"/>
    </xf>
    <xf numFmtId="0" fontId="4" fillId="14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37" borderId="12" xfId="53" applyNumberFormat="1" applyFont="1" applyFill="1" applyBorder="1" applyAlignment="1" applyProtection="1">
      <alignment horizontal="center" vertical="center"/>
      <protection hidden="1"/>
    </xf>
    <xf numFmtId="0" fontId="5" fillId="37" borderId="13" xfId="53" applyNumberFormat="1" applyFont="1" applyFill="1" applyBorder="1" applyAlignment="1" applyProtection="1">
      <alignment horizontal="center" vertical="center"/>
      <protection hidden="1"/>
    </xf>
    <xf numFmtId="0" fontId="4" fillId="14" borderId="10" xfId="53" applyNumberFormat="1" applyFont="1" applyFill="1" applyBorder="1" applyAlignment="1" applyProtection="1">
      <alignment horizontal="center" vertical="center"/>
      <protection hidden="1"/>
    </xf>
    <xf numFmtId="0" fontId="4" fillId="14" borderId="14" xfId="53" applyNumberFormat="1" applyFont="1" applyFill="1" applyBorder="1" applyAlignment="1" applyProtection="1">
      <alignment horizontal="center" vertical="center"/>
      <protection hidden="1"/>
    </xf>
    <xf numFmtId="0" fontId="17" fillId="0" borderId="0" xfId="53" applyFont="1" applyFill="1" applyAlignment="1" applyProtection="1">
      <alignment horizontal="right" vertical="center" wrapText="1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16" fillId="0" borderId="0" xfId="53" applyFont="1" applyFill="1" applyAlignment="1" applyProtection="1">
      <alignment horizontal="right" vertical="center" wrapText="1"/>
      <protection hidden="1"/>
    </xf>
    <xf numFmtId="0" fontId="4" fillId="0" borderId="0" xfId="53" applyFont="1" applyFill="1" applyAlignment="1">
      <alignment horizontal="righ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I12" sqref="I12"/>
    </sheetView>
  </sheetViews>
  <sheetFormatPr defaultColWidth="9.28125" defaultRowHeight="15"/>
  <cols>
    <col min="1" max="1" width="0.2890625" style="37" customWidth="1"/>
    <col min="2" max="2" width="0" style="37" hidden="1" customWidth="1"/>
    <col min="3" max="3" width="8.7109375" style="37" customWidth="1"/>
    <col min="4" max="4" width="60.28125" style="37" customWidth="1"/>
    <col min="5" max="5" width="17.7109375" style="37" customWidth="1"/>
    <col min="6" max="6" width="0.2890625" style="37" hidden="1" customWidth="1"/>
    <col min="7" max="16384" width="9.28125" style="37" customWidth="1"/>
  </cols>
  <sheetData>
    <row r="1" spans="1:6" ht="15" customHeight="1">
      <c r="A1" s="35"/>
      <c r="B1" s="35"/>
      <c r="C1" s="35"/>
      <c r="D1" s="247" t="s">
        <v>152</v>
      </c>
      <c r="E1" s="247"/>
      <c r="F1" s="36" t="s">
        <v>153</v>
      </c>
    </row>
    <row r="2" spans="1:6" ht="15" customHeight="1">
      <c r="A2" s="35"/>
      <c r="B2" s="35"/>
      <c r="C2" s="35"/>
      <c r="D2" s="247" t="s">
        <v>154</v>
      </c>
      <c r="E2" s="247"/>
      <c r="F2" s="36"/>
    </row>
    <row r="3" spans="1:6" ht="15" customHeight="1">
      <c r="A3" s="35"/>
      <c r="B3" s="35"/>
      <c r="C3" s="35"/>
      <c r="D3" s="245" t="s">
        <v>155</v>
      </c>
      <c r="E3" s="245"/>
      <c r="F3" s="36"/>
    </row>
    <row r="4" spans="1:6" ht="15" customHeight="1">
      <c r="A4" s="35"/>
      <c r="B4" s="35"/>
      <c r="C4" s="35"/>
      <c r="D4" s="245" t="s">
        <v>156</v>
      </c>
      <c r="E4" s="245"/>
      <c r="F4" s="36"/>
    </row>
    <row r="5" spans="1:6" ht="15" customHeight="1">
      <c r="A5" s="35"/>
      <c r="B5" s="35"/>
      <c r="C5" s="35"/>
      <c r="D5" s="245" t="s">
        <v>157</v>
      </c>
      <c r="E5" s="245"/>
      <c r="F5" s="36"/>
    </row>
    <row r="6" spans="1:6" ht="15" customHeight="1">
      <c r="A6" s="35"/>
      <c r="B6" s="35"/>
      <c r="C6" s="35"/>
      <c r="D6" s="38"/>
      <c r="E6" s="38"/>
      <c r="F6" s="36"/>
    </row>
    <row r="7" spans="1:6" ht="60" customHeight="1">
      <c r="A7" s="35"/>
      <c r="B7" s="35"/>
      <c r="C7" s="246" t="s">
        <v>158</v>
      </c>
      <c r="D7" s="246"/>
      <c r="E7" s="246"/>
      <c r="F7" s="36"/>
    </row>
    <row r="8" spans="1:6" ht="14.25" customHeight="1">
      <c r="A8" s="36"/>
      <c r="B8" s="36"/>
      <c r="C8" s="36"/>
      <c r="D8" s="36"/>
      <c r="E8" s="36"/>
      <c r="F8" s="36"/>
    </row>
    <row r="9" spans="1:6" ht="30.75" customHeight="1">
      <c r="A9" s="35"/>
      <c r="B9" s="39"/>
      <c r="C9" s="2" t="s">
        <v>159</v>
      </c>
      <c r="D9" s="2" t="s">
        <v>89</v>
      </c>
      <c r="E9" s="2" t="s">
        <v>90</v>
      </c>
      <c r="F9" s="36"/>
    </row>
    <row r="10" spans="1:6" ht="15.75">
      <c r="A10" s="40"/>
      <c r="B10" s="244">
        <v>100</v>
      </c>
      <c r="C10" s="244"/>
      <c r="D10" s="3" t="s">
        <v>160</v>
      </c>
      <c r="E10" s="41" t="e">
        <f>SUM(E11:E18)</f>
        <v>#REF!</v>
      </c>
      <c r="F10" s="42"/>
    </row>
    <row r="11" spans="1:6" ht="31.5">
      <c r="A11" s="40"/>
      <c r="B11" s="29">
        <v>100</v>
      </c>
      <c r="C11" s="29">
        <v>102</v>
      </c>
      <c r="D11" s="21" t="s">
        <v>161</v>
      </c>
      <c r="E11" s="30">
        <f>'Приложение 4'!J722</f>
        <v>1556800</v>
      </c>
      <c r="F11" s="42"/>
    </row>
    <row r="12" spans="1:6" ht="47.25">
      <c r="A12" s="40"/>
      <c r="B12" s="29">
        <v>100</v>
      </c>
      <c r="C12" s="29">
        <v>103</v>
      </c>
      <c r="D12" s="21" t="s">
        <v>162</v>
      </c>
      <c r="E12" s="30">
        <f>'Приложение 4'!J724+'Приложение 4'!J726</f>
        <v>25000</v>
      </c>
      <c r="F12" s="42"/>
    </row>
    <row r="13" spans="1:6" ht="51.75" customHeight="1">
      <c r="A13" s="40"/>
      <c r="B13" s="29">
        <v>100</v>
      </c>
      <c r="C13" s="29">
        <v>104</v>
      </c>
      <c r="D13" s="21" t="s">
        <v>163</v>
      </c>
      <c r="E13" s="30">
        <f>'Приложение 4'!J729+'Приложение 4'!J769</f>
        <v>17873552</v>
      </c>
      <c r="F13" s="42"/>
    </row>
    <row r="14" spans="1:6" ht="14.25" customHeight="1" hidden="1">
      <c r="A14" s="40"/>
      <c r="B14" s="29">
        <v>100</v>
      </c>
      <c r="C14" s="29">
        <v>105</v>
      </c>
      <c r="D14" s="21" t="s">
        <v>164</v>
      </c>
      <c r="E14" s="30"/>
      <c r="F14" s="42"/>
    </row>
    <row r="15" spans="1:6" ht="47.25">
      <c r="A15" s="40"/>
      <c r="B15" s="29">
        <v>100</v>
      </c>
      <c r="C15" s="29">
        <v>106</v>
      </c>
      <c r="D15" s="21" t="s">
        <v>165</v>
      </c>
      <c r="E15" s="30">
        <f>'Приложение 4'!J734+'Приложение 4'!J736+'Приложение 4'!J740</f>
        <v>8635710</v>
      </c>
      <c r="F15" s="42"/>
    </row>
    <row r="16" spans="1:6" ht="15.75" hidden="1">
      <c r="A16" s="40"/>
      <c r="B16" s="29">
        <v>100</v>
      </c>
      <c r="C16" s="29">
        <v>107</v>
      </c>
      <c r="D16" s="21" t="s">
        <v>166</v>
      </c>
      <c r="E16" s="30"/>
      <c r="F16" s="42"/>
    </row>
    <row r="17" spans="1:6" ht="15.75">
      <c r="A17" s="40"/>
      <c r="B17" s="29">
        <v>100</v>
      </c>
      <c r="C17" s="29">
        <v>111</v>
      </c>
      <c r="D17" s="21" t="s">
        <v>167</v>
      </c>
      <c r="E17" s="30">
        <f>'Приложение 4'!J754</f>
        <v>200000</v>
      </c>
      <c r="F17" s="42"/>
    </row>
    <row r="18" spans="1:6" ht="15.75">
      <c r="A18" s="40"/>
      <c r="B18" s="29">
        <v>100</v>
      </c>
      <c r="C18" s="29">
        <v>113</v>
      </c>
      <c r="D18" s="21" t="s">
        <v>168</v>
      </c>
      <c r="E18" s="30" t="e">
        <f>'Приложение 4'!J564+'Приложение 4'!J576+'Приложение 4'!J583+'Приложение 4'!J772+'Приложение 4'!J701</f>
        <v>#REF!</v>
      </c>
      <c r="F18" s="42"/>
    </row>
    <row r="19" spans="1:6" ht="15.75">
      <c r="A19" s="40"/>
      <c r="B19" s="244">
        <v>200</v>
      </c>
      <c r="C19" s="244"/>
      <c r="D19" s="3" t="s">
        <v>169</v>
      </c>
      <c r="E19" s="41" t="e">
        <f>SUM(E20:E21)</f>
        <v>#REF!</v>
      </c>
      <c r="F19" s="42"/>
    </row>
    <row r="20" spans="1:6" ht="15.75">
      <c r="A20" s="40"/>
      <c r="B20" s="29">
        <v>200</v>
      </c>
      <c r="C20" s="29">
        <v>203</v>
      </c>
      <c r="D20" s="21" t="s">
        <v>170</v>
      </c>
      <c r="E20" s="30" t="e">
        <f>'Приложение 4'!#REF!</f>
        <v>#REF!</v>
      </c>
      <c r="F20" s="42"/>
    </row>
    <row r="21" spans="1:6" ht="15.75" hidden="1">
      <c r="A21" s="40"/>
      <c r="B21" s="29">
        <v>200</v>
      </c>
      <c r="C21" s="29">
        <v>204</v>
      </c>
      <c r="D21" s="21" t="s">
        <v>171</v>
      </c>
      <c r="E21" s="30"/>
      <c r="F21" s="42"/>
    </row>
    <row r="22" spans="1:6" ht="31.5">
      <c r="A22" s="40"/>
      <c r="B22" s="244">
        <v>300</v>
      </c>
      <c r="C22" s="244"/>
      <c r="D22" s="3" t="s">
        <v>172</v>
      </c>
      <c r="E22" s="41" t="e">
        <f>SUM(E23:E26)</f>
        <v>#REF!</v>
      </c>
      <c r="F22" s="42"/>
    </row>
    <row r="23" spans="1:6" ht="15.75">
      <c r="A23" s="40"/>
      <c r="B23" s="29">
        <v>300</v>
      </c>
      <c r="C23" s="29">
        <v>304</v>
      </c>
      <c r="D23" s="21" t="s">
        <v>173</v>
      </c>
      <c r="E23" s="30">
        <f>'Приложение 4'!J712</f>
        <v>0</v>
      </c>
      <c r="F23" s="42"/>
    </row>
    <row r="24" spans="1:6" ht="35.25" customHeight="1">
      <c r="A24" s="40"/>
      <c r="B24" s="29">
        <v>300</v>
      </c>
      <c r="C24" s="29">
        <v>309</v>
      </c>
      <c r="D24" s="21" t="s">
        <v>174</v>
      </c>
      <c r="E24" s="30" t="e">
        <f>'Приложение 4'!J342+'Приложение 4'!#REF!</f>
        <v>#REF!</v>
      </c>
      <c r="F24" s="42"/>
    </row>
    <row r="25" spans="1:6" ht="15.75" hidden="1">
      <c r="A25" s="40"/>
      <c r="B25" s="29">
        <v>300</v>
      </c>
      <c r="C25" s="29">
        <v>310</v>
      </c>
      <c r="D25" s="21" t="s">
        <v>175</v>
      </c>
      <c r="E25" s="30"/>
      <c r="F25" s="42"/>
    </row>
    <row r="26" spans="1:6" ht="31.5" hidden="1">
      <c r="A26" s="40"/>
      <c r="B26" s="29">
        <v>300</v>
      </c>
      <c r="C26" s="29">
        <v>314</v>
      </c>
      <c r="D26" s="21" t="s">
        <v>176</v>
      </c>
      <c r="E26" s="30"/>
      <c r="F26" s="42"/>
    </row>
    <row r="27" spans="1:6" ht="15.75">
      <c r="A27" s="40"/>
      <c r="B27" s="244">
        <v>400</v>
      </c>
      <c r="C27" s="244"/>
      <c r="D27" s="3" t="s">
        <v>177</v>
      </c>
      <c r="E27" s="41" t="e">
        <f>SUM(E28:E37)</f>
        <v>#REF!</v>
      </c>
      <c r="F27" s="42"/>
    </row>
    <row r="28" spans="1:6" ht="15.75" hidden="1">
      <c r="A28" s="40"/>
      <c r="B28" s="29">
        <v>400</v>
      </c>
      <c r="C28" s="29">
        <v>401</v>
      </c>
      <c r="D28" s="21" t="s">
        <v>178</v>
      </c>
      <c r="E28" s="30"/>
      <c r="F28" s="42"/>
    </row>
    <row r="29" spans="1:6" ht="15.75" hidden="1">
      <c r="A29" s="40"/>
      <c r="B29" s="29">
        <v>400</v>
      </c>
      <c r="C29" s="29">
        <v>402</v>
      </c>
      <c r="D29" s="21" t="s">
        <v>179</v>
      </c>
      <c r="E29" s="30"/>
      <c r="F29" s="42"/>
    </row>
    <row r="30" spans="1:6" ht="15.75" hidden="1">
      <c r="A30" s="40"/>
      <c r="B30" s="29">
        <v>400</v>
      </c>
      <c r="C30" s="29">
        <v>404</v>
      </c>
      <c r="D30" s="21" t="s">
        <v>180</v>
      </c>
      <c r="E30" s="30"/>
      <c r="F30" s="42"/>
    </row>
    <row r="31" spans="1:6" ht="15.75">
      <c r="A31" s="40"/>
      <c r="B31" s="29">
        <v>400</v>
      </c>
      <c r="C31" s="29">
        <v>405</v>
      </c>
      <c r="D31" s="21" t="s">
        <v>181</v>
      </c>
      <c r="E31" s="30">
        <f>'Приложение 4'!J645</f>
        <v>46838</v>
      </c>
      <c r="F31" s="42"/>
    </row>
    <row r="32" spans="1:6" ht="15.75" hidden="1">
      <c r="A32" s="40"/>
      <c r="B32" s="29">
        <v>400</v>
      </c>
      <c r="C32" s="29">
        <v>406</v>
      </c>
      <c r="D32" s="21" t="s">
        <v>182</v>
      </c>
      <c r="E32" s="30"/>
      <c r="F32" s="42"/>
    </row>
    <row r="33" spans="1:6" ht="15.75" hidden="1">
      <c r="A33" s="40"/>
      <c r="B33" s="29">
        <v>400</v>
      </c>
      <c r="C33" s="29">
        <v>407</v>
      </c>
      <c r="D33" s="21" t="s">
        <v>183</v>
      </c>
      <c r="E33" s="30"/>
      <c r="F33" s="42"/>
    </row>
    <row r="34" spans="1:6" ht="15.75">
      <c r="A34" s="40"/>
      <c r="B34" s="29">
        <v>400</v>
      </c>
      <c r="C34" s="29">
        <v>408</v>
      </c>
      <c r="D34" s="21" t="s">
        <v>184</v>
      </c>
      <c r="E34" s="30">
        <f>'Приложение 4'!J637</f>
        <v>7963000</v>
      </c>
      <c r="F34" s="42"/>
    </row>
    <row r="35" spans="1:6" ht="15.75">
      <c r="A35" s="40"/>
      <c r="B35" s="29">
        <v>400</v>
      </c>
      <c r="C35" s="29">
        <v>409</v>
      </c>
      <c r="D35" s="21" t="s">
        <v>185</v>
      </c>
      <c r="E35" s="30">
        <f>'Приложение 4'!J614</f>
        <v>31097625</v>
      </c>
      <c r="F35" s="42"/>
    </row>
    <row r="36" spans="1:6" ht="15.75" hidden="1">
      <c r="A36" s="40"/>
      <c r="B36" s="29">
        <v>400</v>
      </c>
      <c r="C36" s="29">
        <v>410</v>
      </c>
      <c r="D36" s="21" t="s">
        <v>186</v>
      </c>
      <c r="E36" s="30"/>
      <c r="F36" s="42"/>
    </row>
    <row r="37" spans="1:6" ht="15.75">
      <c r="A37" s="40"/>
      <c r="B37" s="29">
        <v>400</v>
      </c>
      <c r="C37" s="29">
        <v>412</v>
      </c>
      <c r="D37" s="21" t="s">
        <v>187</v>
      </c>
      <c r="E37" s="30" t="e">
        <f>'Приложение 4'!#REF!+'Приложение 4'!J379+'Приложение 4'!J514+'Приложение 4'!J522</f>
        <v>#REF!</v>
      </c>
      <c r="F37" s="42"/>
    </row>
    <row r="38" spans="1:6" ht="15.75">
      <c r="A38" s="40"/>
      <c r="B38" s="244">
        <v>500</v>
      </c>
      <c r="C38" s="244"/>
      <c r="D38" s="3" t="s">
        <v>188</v>
      </c>
      <c r="E38" s="41" t="e">
        <f>SUM(E39:E41)</f>
        <v>#REF!</v>
      </c>
      <c r="F38" s="42"/>
    </row>
    <row r="39" spans="1:6" ht="15.75" hidden="1">
      <c r="A39" s="40"/>
      <c r="B39" s="29">
        <v>500</v>
      </c>
      <c r="C39" s="29">
        <v>501</v>
      </c>
      <c r="D39" s="21" t="s">
        <v>189</v>
      </c>
      <c r="E39" s="30"/>
      <c r="F39" s="42"/>
    </row>
    <row r="40" spans="1:6" ht="15.75">
      <c r="A40" s="40"/>
      <c r="B40" s="29">
        <v>500</v>
      </c>
      <c r="C40" s="29">
        <v>502</v>
      </c>
      <c r="D40" s="21" t="s">
        <v>190</v>
      </c>
      <c r="E40" s="30" t="e">
        <f>'Приложение 4'!J497+'Приложение 4'!#REF!+'Приложение 4'!#REF!+'Приложение 4'!#REF!</f>
        <v>#REF!</v>
      </c>
      <c r="F40" s="42"/>
    </row>
    <row r="41" spans="1:6" ht="31.5" hidden="1">
      <c r="A41" s="40"/>
      <c r="B41" s="29">
        <v>500</v>
      </c>
      <c r="C41" s="29">
        <v>505</v>
      </c>
      <c r="D41" s="21" t="s">
        <v>191</v>
      </c>
      <c r="E41" s="30"/>
      <c r="F41" s="42"/>
    </row>
    <row r="42" spans="1:6" ht="15.75" hidden="1">
      <c r="A42" s="40"/>
      <c r="B42" s="244">
        <v>600</v>
      </c>
      <c r="C42" s="244"/>
      <c r="D42" s="3" t="s">
        <v>192</v>
      </c>
      <c r="E42" s="41"/>
      <c r="F42" s="42"/>
    </row>
    <row r="43" spans="1:6" ht="31.5" hidden="1">
      <c r="A43" s="40"/>
      <c r="B43" s="29">
        <v>600</v>
      </c>
      <c r="C43" s="29">
        <v>603</v>
      </c>
      <c r="D43" s="21" t="s">
        <v>193</v>
      </c>
      <c r="E43" s="30"/>
      <c r="F43" s="42"/>
    </row>
    <row r="44" spans="1:6" ht="15.75" hidden="1">
      <c r="A44" s="40"/>
      <c r="B44" s="29">
        <v>600</v>
      </c>
      <c r="C44" s="29">
        <v>605</v>
      </c>
      <c r="D44" s="21" t="s">
        <v>194</v>
      </c>
      <c r="E44" s="30"/>
      <c r="F44" s="42"/>
    </row>
    <row r="45" spans="1:6" ht="15.75">
      <c r="A45" s="40"/>
      <c r="B45" s="244">
        <v>700</v>
      </c>
      <c r="C45" s="244"/>
      <c r="D45" s="3" t="s">
        <v>195</v>
      </c>
      <c r="E45" s="41" t="e">
        <f>SUM(E46:E51)</f>
        <v>#REF!</v>
      </c>
      <c r="F45" s="42"/>
    </row>
    <row r="46" spans="1:6" ht="15.75">
      <c r="A46" s="40"/>
      <c r="B46" s="29">
        <v>700</v>
      </c>
      <c r="C46" s="29">
        <v>701</v>
      </c>
      <c r="D46" s="21" t="s">
        <v>196</v>
      </c>
      <c r="E46" s="30" t="e">
        <f>'Приложение 4'!J21+'Приложение 4'!O45+'Приложение 4'!#REF!+'Приложение 4'!O82+'Приложение 4'!#REF!+'Приложение 4'!J98</f>
        <v>#REF!</v>
      </c>
      <c r="F46" s="42"/>
    </row>
    <row r="47" spans="1:6" ht="15.75">
      <c r="A47" s="40"/>
      <c r="B47" s="29">
        <v>700</v>
      </c>
      <c r="C47" s="29">
        <v>702</v>
      </c>
      <c r="D47" s="21" t="s">
        <v>197</v>
      </c>
      <c r="E47" s="30" t="e">
        <f>'Приложение 4'!J25+'Приложение 4'!J32+'Приложение 4'!J42+'Приложение 4'!P45+'Приложение 4'!#REF!+'Приложение 4'!J73+'Приложение 4'!J77+'Приложение 4'!P82+'Приложение 4'!#REF!+'Приложение 4'!J85+'Приложение 4'!J354</f>
        <v>#REF!</v>
      </c>
      <c r="F47" s="42"/>
    </row>
    <row r="48" spans="1:6" ht="15.75" hidden="1">
      <c r="A48" s="40"/>
      <c r="B48" s="29">
        <v>700</v>
      </c>
      <c r="C48" s="29">
        <v>704</v>
      </c>
      <c r="D48" s="21" t="s">
        <v>198</v>
      </c>
      <c r="E48" s="30"/>
      <c r="F48" s="42"/>
    </row>
    <row r="49" spans="1:6" ht="31.5" hidden="1">
      <c r="A49" s="40"/>
      <c r="B49" s="29">
        <v>700</v>
      </c>
      <c r="C49" s="29">
        <v>705</v>
      </c>
      <c r="D49" s="21" t="s">
        <v>199</v>
      </c>
      <c r="E49" s="30"/>
      <c r="F49" s="42"/>
    </row>
    <row r="50" spans="1:6" ht="15.75">
      <c r="A50" s="40"/>
      <c r="B50" s="29">
        <v>700</v>
      </c>
      <c r="C50" s="29">
        <v>707</v>
      </c>
      <c r="D50" s="21" t="s">
        <v>200</v>
      </c>
      <c r="E50" s="30" t="e">
        <f>'Приложение 4'!#REF!+'Приложение 4'!#REF!+'Приложение 4'!#REF!+'Приложение 4'!#REF!+'Приложение 4'!J356+'Приложение 4'!J372+'Приложение 4'!J391+'Приложение 4'!J394+'Приложение 4'!J398+'Приложение 4'!#REF!</f>
        <v>#REF!</v>
      </c>
      <c r="F50" s="42"/>
    </row>
    <row r="51" spans="1:6" ht="15.75">
      <c r="A51" s="40"/>
      <c r="B51" s="29">
        <v>700</v>
      </c>
      <c r="C51" s="29">
        <v>709</v>
      </c>
      <c r="D51" s="21" t="s">
        <v>201</v>
      </c>
      <c r="E51" s="30">
        <f>'Приложение 4'!J36+'Приложение 4'!J320+'Приложение 4'!J745+'Приложение 4'!J764</f>
        <v>10362453</v>
      </c>
      <c r="F51" s="42"/>
    </row>
    <row r="52" spans="1:6" ht="15.75">
      <c r="A52" s="40"/>
      <c r="B52" s="244">
        <v>800</v>
      </c>
      <c r="C52" s="244"/>
      <c r="D52" s="3" t="s">
        <v>202</v>
      </c>
      <c r="E52" s="41" t="e">
        <f>SUM(E53:E54)</f>
        <v>#REF!</v>
      </c>
      <c r="F52" s="42"/>
    </row>
    <row r="53" spans="1:6" ht="15.75">
      <c r="A53" s="40"/>
      <c r="B53" s="29">
        <v>800</v>
      </c>
      <c r="C53" s="29">
        <v>801</v>
      </c>
      <c r="D53" s="21" t="s">
        <v>203</v>
      </c>
      <c r="E53" s="30" t="e">
        <f>'Приложение 4'!#REF!+'Приложение 4'!J236+'Приложение 4'!J226+'Приложение 4'!#REF!+'Приложение 4'!J358+'Приложение 4'!#REF!+'Приложение 4'!J363+'Приложение 4'!J369+'Приложение 4'!#REF!</f>
        <v>#REF!</v>
      </c>
      <c r="F53" s="42"/>
    </row>
    <row r="54" spans="1:6" ht="15.75">
      <c r="A54" s="40"/>
      <c r="B54" s="29">
        <v>800</v>
      </c>
      <c r="C54" s="29">
        <v>804</v>
      </c>
      <c r="D54" s="21" t="s">
        <v>204</v>
      </c>
      <c r="E54" s="30">
        <f>'Приложение 4'!J365+'Приложение 4'!J750</f>
        <v>9000000</v>
      </c>
      <c r="F54" s="42"/>
    </row>
    <row r="55" spans="1:6" ht="15.75" hidden="1">
      <c r="A55" s="40"/>
      <c r="B55" s="244">
        <v>900</v>
      </c>
      <c r="C55" s="244"/>
      <c r="D55" s="3" t="s">
        <v>205</v>
      </c>
      <c r="E55" s="41"/>
      <c r="F55" s="42"/>
    </row>
    <row r="56" spans="1:6" ht="15.75" hidden="1">
      <c r="A56" s="40"/>
      <c r="B56" s="29">
        <v>900</v>
      </c>
      <c r="C56" s="29">
        <v>901</v>
      </c>
      <c r="D56" s="21" t="s">
        <v>206</v>
      </c>
      <c r="E56" s="30"/>
      <c r="F56" s="42"/>
    </row>
    <row r="57" spans="1:6" ht="15.75" hidden="1">
      <c r="A57" s="40"/>
      <c r="B57" s="29">
        <v>900</v>
      </c>
      <c r="C57" s="29">
        <v>902</v>
      </c>
      <c r="D57" s="21" t="s">
        <v>207</v>
      </c>
      <c r="E57" s="30"/>
      <c r="F57" s="42"/>
    </row>
    <row r="58" spans="1:6" ht="15.75" hidden="1">
      <c r="A58" s="40"/>
      <c r="B58" s="29">
        <v>900</v>
      </c>
      <c r="C58" s="29">
        <v>903</v>
      </c>
      <c r="D58" s="21" t="s">
        <v>208</v>
      </c>
      <c r="E58" s="30"/>
      <c r="F58" s="42"/>
    </row>
    <row r="59" spans="1:6" ht="15.75" hidden="1">
      <c r="A59" s="40"/>
      <c r="B59" s="29">
        <v>900</v>
      </c>
      <c r="C59" s="29">
        <v>904</v>
      </c>
      <c r="D59" s="21" t="s">
        <v>209</v>
      </c>
      <c r="E59" s="30"/>
      <c r="F59" s="42"/>
    </row>
    <row r="60" spans="1:6" ht="15.75" hidden="1">
      <c r="A60" s="40"/>
      <c r="B60" s="29">
        <v>900</v>
      </c>
      <c r="C60" s="29">
        <v>905</v>
      </c>
      <c r="D60" s="21" t="s">
        <v>210</v>
      </c>
      <c r="E60" s="30"/>
      <c r="F60" s="42"/>
    </row>
    <row r="61" spans="1:6" ht="31.5" hidden="1">
      <c r="A61" s="40"/>
      <c r="B61" s="29">
        <v>900</v>
      </c>
      <c r="C61" s="29">
        <v>906</v>
      </c>
      <c r="D61" s="21" t="s">
        <v>211</v>
      </c>
      <c r="E61" s="30"/>
      <c r="F61" s="42"/>
    </row>
    <row r="62" spans="1:6" ht="15.75" hidden="1">
      <c r="A62" s="40"/>
      <c r="B62" s="29">
        <v>900</v>
      </c>
      <c r="C62" s="29">
        <v>909</v>
      </c>
      <c r="D62" s="21" t="s">
        <v>212</v>
      </c>
      <c r="E62" s="30"/>
      <c r="F62" s="42"/>
    </row>
    <row r="63" spans="1:6" ht="15.75">
      <c r="A63" s="40"/>
      <c r="B63" s="244">
        <v>1000</v>
      </c>
      <c r="C63" s="244"/>
      <c r="D63" s="3" t="s">
        <v>213</v>
      </c>
      <c r="E63" s="41" t="e">
        <f>SUM(E64:E68)</f>
        <v>#REF!</v>
      </c>
      <c r="F63" s="42"/>
    </row>
    <row r="64" spans="1:6" ht="15.75">
      <c r="A64" s="40"/>
      <c r="B64" s="29">
        <v>1000</v>
      </c>
      <c r="C64" s="29">
        <v>1001</v>
      </c>
      <c r="D64" s="21" t="s">
        <v>214</v>
      </c>
      <c r="E64" s="30">
        <f>'Приложение 4'!J152</f>
        <v>1195000</v>
      </c>
      <c r="F64" s="42"/>
    </row>
    <row r="65" spans="1:6" ht="15.75">
      <c r="A65" s="40"/>
      <c r="B65" s="29">
        <v>1000</v>
      </c>
      <c r="C65" s="29">
        <v>1002</v>
      </c>
      <c r="D65" s="21" t="s">
        <v>215</v>
      </c>
      <c r="E65" s="30" t="e">
        <f>'Приложение 4'!#REF!</f>
        <v>#REF!</v>
      </c>
      <c r="F65" s="42"/>
    </row>
    <row r="66" spans="1:6" ht="15.75">
      <c r="A66" s="40"/>
      <c r="B66" s="29">
        <v>1000</v>
      </c>
      <c r="C66" s="29">
        <v>1003</v>
      </c>
      <c r="D66" s="21" t="s">
        <v>216</v>
      </c>
      <c r="E66" s="30" t="e">
        <f>'Приложение 4'!J132+'Приложение 4'!J135+'Приложение 4'!J154+'Приложение 4'!J156+'Приложение 4'!J159+'Приложение 4'!J165+'Приложение 4'!J168+'Приложение 4'!J171+'Приложение 4'!J222+'Приложение 4'!J175+'Приложение 4'!#REF!+'Приложение 4'!J224+'Приложение 4'!#REF!+'Приложение 4'!J641</f>
        <v>#REF!</v>
      </c>
      <c r="F66" s="42"/>
    </row>
    <row r="67" spans="1:6" ht="15.75">
      <c r="A67" s="40"/>
      <c r="B67" s="29">
        <v>1000</v>
      </c>
      <c r="C67" s="29">
        <v>1004</v>
      </c>
      <c r="D67" s="21" t="s">
        <v>217</v>
      </c>
      <c r="E67" s="30" t="e">
        <f>'Приложение 4'!J17+'Приложение 4'!J68+'Приложение 4'!J70+'Приложение 4'!J79+'Приложение 4'!J138+'Приложение 4'!J141+'Приложение 4'!J144+'Приложение 4'!#REF!+'Приложение 4'!#REF!+'Приложение 4'!#REF!+'Приложение 4'!J301+'Приложение 4'!J643</f>
        <v>#REF!</v>
      </c>
      <c r="F67" s="42"/>
    </row>
    <row r="68" spans="1:6" ht="15.75">
      <c r="A68" s="40"/>
      <c r="B68" s="29">
        <v>1000</v>
      </c>
      <c r="C68" s="29">
        <v>1006</v>
      </c>
      <c r="D68" s="21" t="s">
        <v>218</v>
      </c>
      <c r="E68" s="30">
        <f>'Приложение 4'!J217+'Приложение 4'!J230+'Приложение 4'!J775</f>
        <v>7367292</v>
      </c>
      <c r="F68" s="42"/>
    </row>
    <row r="69" spans="1:6" ht="15.75">
      <c r="A69" s="40"/>
      <c r="B69" s="244">
        <v>1100</v>
      </c>
      <c r="C69" s="244"/>
      <c r="D69" s="3" t="s">
        <v>219</v>
      </c>
      <c r="E69" s="41">
        <f>SUM(E70:E72)</f>
        <v>0</v>
      </c>
      <c r="F69" s="42"/>
    </row>
    <row r="70" spans="1:6" ht="15.75">
      <c r="A70" s="40"/>
      <c r="B70" s="29">
        <v>1100</v>
      </c>
      <c r="C70" s="29">
        <v>1102</v>
      </c>
      <c r="D70" s="21" t="s">
        <v>220</v>
      </c>
      <c r="E70" s="30">
        <f>'Приложение 4'!J476</f>
        <v>0</v>
      </c>
      <c r="F70" s="42"/>
    </row>
    <row r="71" spans="1:6" ht="15.75" hidden="1">
      <c r="A71" s="40"/>
      <c r="B71" s="29">
        <v>1100</v>
      </c>
      <c r="C71" s="29">
        <v>1103</v>
      </c>
      <c r="D71" s="21" t="s">
        <v>221</v>
      </c>
      <c r="E71" s="30"/>
      <c r="F71" s="42"/>
    </row>
    <row r="72" spans="1:6" ht="15.75" hidden="1">
      <c r="A72" s="40"/>
      <c r="B72" s="29">
        <v>1100</v>
      </c>
      <c r="C72" s="29">
        <v>1105</v>
      </c>
      <c r="D72" s="21" t="s">
        <v>222</v>
      </c>
      <c r="E72" s="30"/>
      <c r="F72" s="42"/>
    </row>
    <row r="73" spans="1:6" ht="15.75">
      <c r="A73" s="40"/>
      <c r="B73" s="244">
        <v>1200</v>
      </c>
      <c r="C73" s="244"/>
      <c r="D73" s="3" t="s">
        <v>223</v>
      </c>
      <c r="E73" s="41" t="e">
        <f>SUM(E74)</f>
        <v>#REF!</v>
      </c>
      <c r="F73" s="42"/>
    </row>
    <row r="74" spans="1:6" ht="15.75">
      <c r="A74" s="40"/>
      <c r="B74" s="29">
        <v>1200</v>
      </c>
      <c r="C74" s="29">
        <v>1202</v>
      </c>
      <c r="D74" s="21" t="s">
        <v>224</v>
      </c>
      <c r="E74" s="30" t="e">
        <f>'Приложение 4'!J609+'Приложение 4'!#REF!</f>
        <v>#REF!</v>
      </c>
      <c r="F74" s="42"/>
    </row>
    <row r="75" spans="1:6" ht="31.5">
      <c r="A75" s="40"/>
      <c r="B75" s="244">
        <v>1300</v>
      </c>
      <c r="C75" s="244"/>
      <c r="D75" s="3" t="s">
        <v>225</v>
      </c>
      <c r="E75" s="41">
        <f>E76</f>
        <v>10000</v>
      </c>
      <c r="F75" s="42"/>
    </row>
    <row r="76" spans="1:6" ht="31.5">
      <c r="A76" s="40"/>
      <c r="B76" s="29">
        <v>1300</v>
      </c>
      <c r="C76" s="29">
        <v>1301</v>
      </c>
      <c r="D76" s="21" t="s">
        <v>226</v>
      </c>
      <c r="E76" s="30">
        <f>'Приложение 4'!J698</f>
        <v>10000</v>
      </c>
      <c r="F76" s="42"/>
    </row>
    <row r="77" spans="1:6" ht="47.25">
      <c r="A77" s="40"/>
      <c r="B77" s="244">
        <v>1400</v>
      </c>
      <c r="C77" s="244"/>
      <c r="D77" s="3" t="s">
        <v>227</v>
      </c>
      <c r="E77" s="41" t="e">
        <f>SUM(E78:E80)</f>
        <v>#REF!</v>
      </c>
      <c r="F77" s="42"/>
    </row>
    <row r="78" spans="1:6" ht="47.25">
      <c r="A78" s="40"/>
      <c r="B78" s="29">
        <v>1400</v>
      </c>
      <c r="C78" s="29">
        <v>1401</v>
      </c>
      <c r="D78" s="21" t="s">
        <v>228</v>
      </c>
      <c r="E78" s="30" t="e">
        <f>'Приложение 4'!J695+'Приложение 4'!#REF!</f>
        <v>#REF!</v>
      </c>
      <c r="F78" s="42"/>
    </row>
    <row r="79" spans="1:6" ht="15.75" hidden="1">
      <c r="A79" s="40"/>
      <c r="B79" s="29">
        <v>1400</v>
      </c>
      <c r="C79" s="29">
        <v>1402</v>
      </c>
      <c r="D79" s="21" t="s">
        <v>229</v>
      </c>
      <c r="E79" s="30"/>
      <c r="F79" s="42"/>
    </row>
    <row r="80" spans="1:6" ht="15.75" hidden="1">
      <c r="A80" s="40"/>
      <c r="B80" s="29">
        <v>1400</v>
      </c>
      <c r="C80" s="29">
        <v>1403</v>
      </c>
      <c r="D80" s="21" t="s">
        <v>230</v>
      </c>
      <c r="E80" s="30"/>
      <c r="F80" s="42"/>
    </row>
    <row r="81" spans="1:6" ht="409.5" customHeight="1" hidden="1">
      <c r="A81" s="35"/>
      <c r="B81" s="7"/>
      <c r="C81" s="7"/>
      <c r="D81" s="21" t="s">
        <v>241</v>
      </c>
      <c r="E81" s="31"/>
      <c r="F81" s="36"/>
    </row>
    <row r="82" spans="1:6" ht="15" customHeight="1">
      <c r="A82" s="35"/>
      <c r="B82" s="39"/>
      <c r="C82" s="243" t="s">
        <v>91</v>
      </c>
      <c r="D82" s="243"/>
      <c r="E82" s="41" t="e">
        <f>E10+E19+E22+E27+E38+E45+E52+E63+E69+E73+E75+E77</f>
        <v>#REF!</v>
      </c>
      <c r="F82" s="36"/>
    </row>
  </sheetData>
  <sheetProtection/>
  <mergeCells count="21">
    <mergeCell ref="D5:E5"/>
    <mergeCell ref="C7:E7"/>
    <mergeCell ref="D1:E1"/>
    <mergeCell ref="D2:E2"/>
    <mergeCell ref="D3:E3"/>
    <mergeCell ref="D4:E4"/>
    <mergeCell ref="B55:C55"/>
    <mergeCell ref="B22:C22"/>
    <mergeCell ref="B27:C27"/>
    <mergeCell ref="B38:C38"/>
    <mergeCell ref="B42:C42"/>
    <mergeCell ref="B10:C10"/>
    <mergeCell ref="B45:C45"/>
    <mergeCell ref="B19:C19"/>
    <mergeCell ref="B52:C52"/>
    <mergeCell ref="C82:D82"/>
    <mergeCell ref="B69:C69"/>
    <mergeCell ref="B73:C73"/>
    <mergeCell ref="B75:C75"/>
    <mergeCell ref="B77:C77"/>
    <mergeCell ref="B63:C63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16"/>
  <sheetViews>
    <sheetView showGridLines="0" tabSelected="1" view="pageBreakPreview" zoomScaleSheetLayoutView="100" zoomScalePageLayoutView="0" workbookViewId="0" topLeftCell="A775">
      <selection activeCell="N201" sqref="N201"/>
    </sheetView>
  </sheetViews>
  <sheetFormatPr defaultColWidth="8.7109375" defaultRowHeight="15"/>
  <cols>
    <col min="1" max="1" width="0.2890625" style="12" customWidth="1"/>
    <col min="2" max="6" width="0" style="12" hidden="1" customWidth="1"/>
    <col min="7" max="7" width="63.421875" style="12" customWidth="1"/>
    <col min="8" max="8" width="14.28125" style="12" customWidth="1"/>
    <col min="9" max="9" width="10.00390625" style="12" customWidth="1"/>
    <col min="10" max="10" width="14.28125" style="12" hidden="1" customWidth="1"/>
    <col min="11" max="11" width="4.7109375" style="12" hidden="1" customWidth="1"/>
    <col min="12" max="12" width="11.28125" style="12" hidden="1" customWidth="1"/>
    <col min="13" max="13" width="5.00390625" style="12" hidden="1" customWidth="1"/>
    <col min="14" max="14" width="13.8515625" style="12" customWidth="1"/>
    <col min="15" max="15" width="14.00390625" style="172" hidden="1" customWidth="1"/>
    <col min="16" max="16" width="0.2890625" style="12" customWidth="1"/>
    <col min="17" max="242" width="9.28125" style="12" customWidth="1"/>
    <col min="243" max="16384" width="8.7109375" style="12" customWidth="1"/>
  </cols>
  <sheetData>
    <row r="1" spans="9:16" ht="27" customHeight="1" hidden="1">
      <c r="I1" s="301"/>
      <c r="J1" s="301"/>
      <c r="K1" s="301"/>
      <c r="L1" s="301"/>
      <c r="M1" s="301"/>
      <c r="N1" s="301"/>
      <c r="O1" s="301"/>
      <c r="P1" s="301"/>
    </row>
    <row r="2" spans="1:16" ht="50.25" customHeight="1" hidden="1">
      <c r="A2" s="9"/>
      <c r="B2" s="9"/>
      <c r="C2" s="9"/>
      <c r="D2" s="9"/>
      <c r="E2" s="9"/>
      <c r="F2" s="9"/>
      <c r="G2" s="9"/>
      <c r="H2" s="298"/>
      <c r="I2" s="298"/>
      <c r="J2" s="298"/>
      <c r="K2" s="298"/>
      <c r="L2" s="298"/>
      <c r="M2" s="298"/>
      <c r="N2" s="298"/>
      <c r="O2" s="298"/>
      <c r="P2" s="298"/>
    </row>
    <row r="3" spans="1:16" ht="27" customHeight="1" hidden="1">
      <c r="A3" s="9"/>
      <c r="B3" s="9"/>
      <c r="C3" s="9"/>
      <c r="D3" s="9"/>
      <c r="E3" s="9"/>
      <c r="F3" s="9"/>
      <c r="G3" s="9"/>
      <c r="H3" s="265"/>
      <c r="I3" s="265"/>
      <c r="J3" s="265"/>
      <c r="K3" s="265"/>
      <c r="L3" s="265"/>
      <c r="M3" s="265"/>
      <c r="N3" s="265"/>
      <c r="O3" s="181"/>
      <c r="P3" s="181"/>
    </row>
    <row r="4" spans="1:16" ht="28.5" customHeight="1">
      <c r="A4" s="9"/>
      <c r="B4" s="9"/>
      <c r="C4" s="9"/>
      <c r="D4" s="9"/>
      <c r="E4" s="9"/>
      <c r="F4" s="9"/>
      <c r="G4" s="9"/>
      <c r="H4" s="300" t="s">
        <v>879</v>
      </c>
      <c r="I4" s="300"/>
      <c r="J4" s="300"/>
      <c r="K4" s="300"/>
      <c r="L4" s="300"/>
      <c r="M4" s="300"/>
      <c r="N4" s="300"/>
      <c r="O4" s="181"/>
      <c r="P4" s="181"/>
    </row>
    <row r="5" spans="1:16" ht="45.75" customHeight="1">
      <c r="A5" s="9"/>
      <c r="B5" s="9"/>
      <c r="C5" s="9"/>
      <c r="D5" s="9"/>
      <c r="E5" s="9"/>
      <c r="F5" s="9"/>
      <c r="G5" s="9"/>
      <c r="H5" s="300" t="s">
        <v>872</v>
      </c>
      <c r="I5" s="300"/>
      <c r="J5" s="300"/>
      <c r="K5" s="300"/>
      <c r="L5" s="300"/>
      <c r="M5" s="300"/>
      <c r="N5" s="300"/>
      <c r="O5" s="181"/>
      <c r="P5" s="181"/>
    </row>
    <row r="6" spans="1:16" ht="108.75" customHeight="1">
      <c r="A6" s="9"/>
      <c r="B6" s="9"/>
      <c r="C6" s="9"/>
      <c r="D6" s="9"/>
      <c r="E6" s="9"/>
      <c r="F6" s="9"/>
      <c r="G6" s="9"/>
      <c r="H6" s="264" t="s">
        <v>873</v>
      </c>
      <c r="I6" s="264"/>
      <c r="J6" s="264"/>
      <c r="K6" s="264"/>
      <c r="L6" s="264"/>
      <c r="M6" s="264"/>
      <c r="N6" s="264"/>
      <c r="O6" s="181"/>
      <c r="P6" s="181"/>
    </row>
    <row r="7" spans="1:20" ht="99" customHeight="1" thickBot="1">
      <c r="A7" s="13"/>
      <c r="B7" s="13"/>
      <c r="C7" s="13"/>
      <c r="D7" s="13"/>
      <c r="E7" s="13"/>
      <c r="F7" s="13"/>
      <c r="G7" s="246" t="s">
        <v>799</v>
      </c>
      <c r="H7" s="246"/>
      <c r="I7" s="246"/>
      <c r="J7" s="246"/>
      <c r="K7" s="246"/>
      <c r="L7" s="246"/>
      <c r="M7" s="246"/>
      <c r="N7" s="246"/>
      <c r="O7" s="246"/>
      <c r="P7" s="246"/>
      <c r="Q7" s="28"/>
      <c r="R7" s="28"/>
      <c r="S7" s="28"/>
      <c r="T7" s="28"/>
    </row>
    <row r="8" spans="1:15" ht="14.25" customHeight="1" hidden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73"/>
    </row>
    <row r="9" spans="1:15" ht="14.25" customHeight="1" hidden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73"/>
    </row>
    <row r="10" spans="1:15" ht="14.25" customHeight="1" hidden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73"/>
    </row>
    <row r="11" spans="1:16" ht="44.25" customHeight="1" thickBot="1">
      <c r="A11" s="9"/>
      <c r="B11" s="10"/>
      <c r="C11" s="10"/>
      <c r="D11" s="10"/>
      <c r="E11" s="11"/>
      <c r="F11" s="11"/>
      <c r="G11" s="219" t="s">
        <v>89</v>
      </c>
      <c r="H11" s="165" t="s">
        <v>88</v>
      </c>
      <c r="I11" s="128" t="s">
        <v>87</v>
      </c>
      <c r="J11" s="142" t="s">
        <v>707</v>
      </c>
      <c r="K11" s="128" t="s">
        <v>601</v>
      </c>
      <c r="L11" s="158" t="s">
        <v>602</v>
      </c>
      <c r="M11" s="142" t="s">
        <v>705</v>
      </c>
      <c r="N11" s="210" t="s">
        <v>798</v>
      </c>
      <c r="O11" s="209" t="s">
        <v>712</v>
      </c>
      <c r="P11" s="171" t="s">
        <v>706</v>
      </c>
    </row>
    <row r="12" spans="1:16" ht="43.5" customHeight="1">
      <c r="A12" s="8"/>
      <c r="B12" s="268" t="s">
        <v>86</v>
      </c>
      <c r="C12" s="268"/>
      <c r="D12" s="268"/>
      <c r="E12" s="268"/>
      <c r="F12" s="269"/>
      <c r="G12" s="220" t="s">
        <v>800</v>
      </c>
      <c r="H12" s="161" t="s">
        <v>308</v>
      </c>
      <c r="I12" s="162" t="s">
        <v>0</v>
      </c>
      <c r="J12" s="163">
        <f>J13</f>
        <v>259099311</v>
      </c>
      <c r="K12" s="163">
        <f>K13</f>
        <v>484737</v>
      </c>
      <c r="L12" s="164">
        <f>L13</f>
        <v>247150401</v>
      </c>
      <c r="M12" s="164">
        <f>M13</f>
        <v>2000000</v>
      </c>
      <c r="N12" s="164">
        <f>N13</f>
        <v>311512336</v>
      </c>
      <c r="O12" s="174"/>
      <c r="P12" s="166"/>
    </row>
    <row r="13" spans="1:16" ht="47.25" customHeight="1">
      <c r="A13" s="8"/>
      <c r="B13" s="276" t="s">
        <v>85</v>
      </c>
      <c r="C13" s="276"/>
      <c r="D13" s="276"/>
      <c r="E13" s="276"/>
      <c r="F13" s="277"/>
      <c r="G13" s="221" t="s">
        <v>801</v>
      </c>
      <c r="H13" s="4" t="s">
        <v>309</v>
      </c>
      <c r="I13" s="6" t="s">
        <v>0</v>
      </c>
      <c r="J13" s="5">
        <f>J16+J65+J91+J108</f>
        <v>259099311</v>
      </c>
      <c r="K13" s="5">
        <f>K16+K65</f>
        <v>484737</v>
      </c>
      <c r="L13" s="133">
        <f>L16+L65</f>
        <v>247150401</v>
      </c>
      <c r="M13" s="133">
        <f>M16+M65+M91+M108</f>
        <v>2000000</v>
      </c>
      <c r="N13" s="133">
        <f>N16+N65+N91+N108+N115+N118</f>
        <v>311512336</v>
      </c>
      <c r="O13" s="175"/>
      <c r="P13" s="167"/>
    </row>
    <row r="14" spans="1:16" ht="0" customHeight="1" hidden="1">
      <c r="A14" s="8"/>
      <c r="B14" s="18"/>
      <c r="C14" s="18"/>
      <c r="D14" s="18"/>
      <c r="E14" s="18"/>
      <c r="F14" s="19"/>
      <c r="G14" s="212" t="s">
        <v>96</v>
      </c>
      <c r="H14" s="20">
        <v>1164031</v>
      </c>
      <c r="I14" s="6"/>
      <c r="J14" s="1"/>
      <c r="K14" s="149"/>
      <c r="L14" s="131"/>
      <c r="M14" s="131"/>
      <c r="N14" s="131"/>
      <c r="O14" s="175"/>
      <c r="P14" s="168"/>
    </row>
    <row r="15" spans="1:16" ht="15" customHeight="1" hidden="1">
      <c r="A15" s="8"/>
      <c r="B15" s="18"/>
      <c r="C15" s="18"/>
      <c r="D15" s="18"/>
      <c r="E15" s="18"/>
      <c r="F15" s="19"/>
      <c r="G15" s="214" t="s">
        <v>4</v>
      </c>
      <c r="H15" s="20"/>
      <c r="I15" s="6">
        <v>600</v>
      </c>
      <c r="J15" s="1"/>
      <c r="K15" s="149"/>
      <c r="L15" s="131"/>
      <c r="M15" s="131"/>
      <c r="N15" s="131"/>
      <c r="O15" s="175"/>
      <c r="P15" s="168"/>
    </row>
    <row r="16" spans="1:16" ht="22.5" customHeight="1">
      <c r="A16" s="8"/>
      <c r="B16" s="18"/>
      <c r="C16" s="18"/>
      <c r="D16" s="18"/>
      <c r="E16" s="18"/>
      <c r="F16" s="19"/>
      <c r="G16" s="212" t="s">
        <v>379</v>
      </c>
      <c r="H16" s="147" t="s">
        <v>310</v>
      </c>
      <c r="I16" s="6"/>
      <c r="J16" s="1">
        <f>J21+J25+J32+J36+J47+J49+J55+J57+J59+J45+J19</f>
        <v>211651883</v>
      </c>
      <c r="K16" s="1">
        <f>K21+K25+K32+K36+K47+K49+K55+K57+K59+K45</f>
        <v>484737</v>
      </c>
      <c r="L16" s="131">
        <f>L21+L25+L32+L36+L47+L49+L55+L57+L59+L45</f>
        <v>205634690</v>
      </c>
      <c r="M16" s="131">
        <f>M21+M25+M32+M36+M47+M49+M55+M57+M59+M45+M19</f>
        <v>2000000</v>
      </c>
      <c r="N16" s="132">
        <f>N21+N25+N32+N36+N47+N49+N55+N57+N59+N45+N19+N61+N63+N51+N53</f>
        <v>257492148</v>
      </c>
      <c r="O16" s="179"/>
      <c r="P16" s="170"/>
    </row>
    <row r="17" spans="1:16" ht="48" customHeight="1" hidden="1">
      <c r="A17" s="8"/>
      <c r="B17" s="18"/>
      <c r="C17" s="18"/>
      <c r="D17" s="18"/>
      <c r="E17" s="18"/>
      <c r="F17" s="19"/>
      <c r="G17" s="214" t="s">
        <v>126</v>
      </c>
      <c r="H17" s="121" t="s">
        <v>231</v>
      </c>
      <c r="I17" s="6"/>
      <c r="J17" s="1">
        <f>J18</f>
        <v>0</v>
      </c>
      <c r="K17" s="149"/>
      <c r="L17" s="131"/>
      <c r="M17" s="131"/>
      <c r="N17" s="131"/>
      <c r="O17" s="175"/>
      <c r="P17" s="169"/>
    </row>
    <row r="18" spans="1:16" ht="34.5" customHeight="1" hidden="1">
      <c r="A18" s="8"/>
      <c r="B18" s="18"/>
      <c r="C18" s="18"/>
      <c r="D18" s="18"/>
      <c r="E18" s="18"/>
      <c r="F18" s="19"/>
      <c r="G18" s="214" t="s">
        <v>4</v>
      </c>
      <c r="H18" s="20"/>
      <c r="I18" s="148">
        <v>300</v>
      </c>
      <c r="J18" s="1"/>
      <c r="K18" s="1"/>
      <c r="L18" s="131"/>
      <c r="M18" s="131"/>
      <c r="N18" s="131"/>
      <c r="O18" s="175"/>
      <c r="P18" s="169"/>
    </row>
    <row r="19" spans="1:16" ht="50.25" customHeight="1">
      <c r="A19" s="8"/>
      <c r="B19" s="18"/>
      <c r="C19" s="18"/>
      <c r="D19" s="18"/>
      <c r="E19" s="18"/>
      <c r="F19" s="19"/>
      <c r="G19" s="214" t="s">
        <v>701</v>
      </c>
      <c r="H19" s="186" t="s">
        <v>700</v>
      </c>
      <c r="I19" s="148"/>
      <c r="J19" s="1">
        <f>J20</f>
        <v>6336882</v>
      </c>
      <c r="K19" s="1"/>
      <c r="L19" s="131"/>
      <c r="M19" s="131"/>
      <c r="N19" s="131">
        <f>N20</f>
        <v>6562080</v>
      </c>
      <c r="O19" s="175"/>
      <c r="P19" s="169"/>
    </row>
    <row r="20" spans="1:16" ht="34.5" customHeight="1">
      <c r="A20" s="8"/>
      <c r="B20" s="18"/>
      <c r="C20" s="18"/>
      <c r="D20" s="18"/>
      <c r="E20" s="18"/>
      <c r="F20" s="19"/>
      <c r="G20" s="214" t="s">
        <v>4</v>
      </c>
      <c r="H20" s="20"/>
      <c r="I20" s="148">
        <v>600</v>
      </c>
      <c r="J20" s="1">
        <v>6336882</v>
      </c>
      <c r="K20" s="1"/>
      <c r="L20" s="131"/>
      <c r="M20" s="131"/>
      <c r="N20" s="131">
        <v>6562080</v>
      </c>
      <c r="O20" s="175"/>
      <c r="P20" s="169"/>
    </row>
    <row r="21" spans="1:16" ht="35.25" customHeight="1">
      <c r="A21" s="8"/>
      <c r="B21" s="18"/>
      <c r="C21" s="18"/>
      <c r="D21" s="18"/>
      <c r="E21" s="18"/>
      <c r="F21" s="19"/>
      <c r="G21" s="222" t="s">
        <v>92</v>
      </c>
      <c r="H21" s="7" t="s">
        <v>311</v>
      </c>
      <c r="I21" s="148"/>
      <c r="J21" s="1">
        <f>J22+J24</f>
        <v>26091000</v>
      </c>
      <c r="K21" s="1">
        <f>K22+K23</f>
        <v>0</v>
      </c>
      <c r="L21" s="131">
        <f>L22</f>
        <v>26091000</v>
      </c>
      <c r="M21" s="131"/>
      <c r="N21" s="131">
        <f>N22+N24</f>
        <v>32222105</v>
      </c>
      <c r="O21" s="150"/>
      <c r="P21" s="169"/>
    </row>
    <row r="22" spans="1:16" ht="37.5" customHeight="1">
      <c r="A22" s="8"/>
      <c r="B22" s="18"/>
      <c r="C22" s="18"/>
      <c r="D22" s="18"/>
      <c r="E22" s="18"/>
      <c r="F22" s="19"/>
      <c r="G22" s="214" t="s">
        <v>4</v>
      </c>
      <c r="H22" s="187"/>
      <c r="I22" s="148">
        <v>600</v>
      </c>
      <c r="J22" s="1">
        <v>26091000</v>
      </c>
      <c r="K22" s="1"/>
      <c r="L22" s="131">
        <f>K22+J22</f>
        <v>26091000</v>
      </c>
      <c r="M22" s="131"/>
      <c r="N22" s="131">
        <f>28814546+1554554+984239+868766</f>
        <v>32222105</v>
      </c>
      <c r="O22" s="150"/>
      <c r="P22" s="169"/>
    </row>
    <row r="23" spans="1:16" ht="21.75" customHeight="1" hidden="1">
      <c r="A23" s="8"/>
      <c r="B23" s="18"/>
      <c r="C23" s="18"/>
      <c r="D23" s="18"/>
      <c r="E23" s="18"/>
      <c r="F23" s="19"/>
      <c r="G23" s="214" t="s">
        <v>1</v>
      </c>
      <c r="H23" s="187"/>
      <c r="I23" s="148">
        <v>800</v>
      </c>
      <c r="J23" s="1">
        <v>0</v>
      </c>
      <c r="K23" s="1"/>
      <c r="L23" s="131"/>
      <c r="M23" s="131"/>
      <c r="N23" s="131"/>
      <c r="O23" s="175"/>
      <c r="P23" s="169"/>
    </row>
    <row r="24" spans="1:16" ht="21.75" customHeight="1" hidden="1">
      <c r="A24" s="8"/>
      <c r="B24" s="18"/>
      <c r="C24" s="18"/>
      <c r="D24" s="18"/>
      <c r="E24" s="18"/>
      <c r="F24" s="19"/>
      <c r="G24" s="214" t="s">
        <v>1</v>
      </c>
      <c r="H24" s="187"/>
      <c r="I24" s="148">
        <v>800</v>
      </c>
      <c r="J24" s="1">
        <v>0</v>
      </c>
      <c r="K24" s="1"/>
      <c r="L24" s="131"/>
      <c r="M24" s="131"/>
      <c r="N24" s="131">
        <f>M24+J24</f>
        <v>0</v>
      </c>
      <c r="O24" s="175"/>
      <c r="P24" s="169"/>
    </row>
    <row r="25" spans="1:16" ht="36.75" customHeight="1">
      <c r="A25" s="8"/>
      <c r="B25" s="18"/>
      <c r="C25" s="18"/>
      <c r="D25" s="18"/>
      <c r="E25" s="18"/>
      <c r="F25" s="19"/>
      <c r="G25" s="222" t="s">
        <v>656</v>
      </c>
      <c r="H25" s="7" t="s">
        <v>312</v>
      </c>
      <c r="I25" s="148"/>
      <c r="J25" s="1">
        <f>J26+J29</f>
        <v>42769648</v>
      </c>
      <c r="K25" s="1">
        <f>K26+K28</f>
        <v>26122</v>
      </c>
      <c r="L25" s="131">
        <f>L26+L28</f>
        <v>42680722</v>
      </c>
      <c r="M25" s="131">
        <f>M26+M29</f>
        <v>2000000</v>
      </c>
      <c r="N25" s="131">
        <f>N26+N31</f>
        <v>54238298</v>
      </c>
      <c r="O25" s="150"/>
      <c r="P25" s="169"/>
    </row>
    <row r="26" spans="1:16" ht="34.5" customHeight="1">
      <c r="A26" s="8"/>
      <c r="B26" s="18"/>
      <c r="C26" s="18"/>
      <c r="D26" s="18"/>
      <c r="E26" s="18"/>
      <c r="F26" s="19"/>
      <c r="G26" s="214" t="s">
        <v>4</v>
      </c>
      <c r="H26" s="187"/>
      <c r="I26" s="148">
        <v>600</v>
      </c>
      <c r="J26" s="1">
        <v>42654600</v>
      </c>
      <c r="K26" s="1">
        <v>26122</v>
      </c>
      <c r="L26" s="131">
        <f>K26+J26</f>
        <v>42680722</v>
      </c>
      <c r="M26" s="131">
        <v>0</v>
      </c>
      <c r="N26" s="131">
        <f>44926100+590000</f>
        <v>45516100</v>
      </c>
      <c r="O26" s="150"/>
      <c r="P26" s="169"/>
    </row>
    <row r="27" spans="1:16" ht="20.25" customHeight="1" hidden="1">
      <c r="A27" s="8"/>
      <c r="B27" s="18"/>
      <c r="C27" s="18"/>
      <c r="D27" s="18"/>
      <c r="E27" s="18"/>
      <c r="F27" s="19"/>
      <c r="G27" s="214"/>
      <c r="H27" s="187"/>
      <c r="I27" s="148"/>
      <c r="J27" s="1"/>
      <c r="K27" s="1"/>
      <c r="L27" s="131"/>
      <c r="M27" s="131"/>
      <c r="N27" s="131"/>
      <c r="O27" s="150"/>
      <c r="P27" s="169"/>
    </row>
    <row r="28" spans="1:16" ht="20.25" customHeight="1" hidden="1">
      <c r="A28" s="8"/>
      <c r="B28" s="18"/>
      <c r="C28" s="18"/>
      <c r="D28" s="18"/>
      <c r="E28" s="18"/>
      <c r="F28" s="19"/>
      <c r="G28" s="214" t="s">
        <v>1</v>
      </c>
      <c r="H28" s="187"/>
      <c r="I28" s="148">
        <v>800</v>
      </c>
      <c r="J28" s="1">
        <v>0</v>
      </c>
      <c r="K28" s="1"/>
      <c r="L28" s="131"/>
      <c r="M28" s="131"/>
      <c r="N28" s="131"/>
      <c r="O28" s="150"/>
      <c r="P28" s="169"/>
    </row>
    <row r="29" spans="1:16" ht="20.25" customHeight="1" hidden="1">
      <c r="A29" s="8"/>
      <c r="B29" s="18"/>
      <c r="C29" s="18"/>
      <c r="D29" s="18"/>
      <c r="E29" s="18"/>
      <c r="F29" s="19"/>
      <c r="G29" s="214" t="s">
        <v>1</v>
      </c>
      <c r="H29" s="187"/>
      <c r="I29" s="148">
        <v>800</v>
      </c>
      <c r="J29" s="1">
        <v>115048</v>
      </c>
      <c r="K29" s="1"/>
      <c r="L29" s="131"/>
      <c r="M29" s="131">
        <v>2000000</v>
      </c>
      <c r="N29" s="131">
        <v>0</v>
      </c>
      <c r="O29" s="150"/>
      <c r="P29" s="169"/>
    </row>
    <row r="30" spans="1:16" ht="20.25" customHeight="1" hidden="1">
      <c r="A30" s="8"/>
      <c r="B30" s="18"/>
      <c r="C30" s="18"/>
      <c r="D30" s="18"/>
      <c r="E30" s="18"/>
      <c r="F30" s="19"/>
      <c r="G30" s="214" t="s">
        <v>1</v>
      </c>
      <c r="H30" s="187"/>
      <c r="I30" s="148">
        <v>800</v>
      </c>
      <c r="J30" s="1"/>
      <c r="K30" s="1"/>
      <c r="L30" s="131"/>
      <c r="M30" s="131"/>
      <c r="N30" s="131">
        <v>0</v>
      </c>
      <c r="O30" s="150"/>
      <c r="P30" s="169"/>
    </row>
    <row r="31" spans="1:16" ht="20.25" customHeight="1">
      <c r="A31" s="8"/>
      <c r="B31" s="18"/>
      <c r="C31" s="18"/>
      <c r="D31" s="18"/>
      <c r="E31" s="18"/>
      <c r="F31" s="19"/>
      <c r="G31" s="214" t="s">
        <v>1</v>
      </c>
      <c r="H31" s="187"/>
      <c r="I31" s="148">
        <v>800</v>
      </c>
      <c r="J31" s="1"/>
      <c r="K31" s="1"/>
      <c r="L31" s="131"/>
      <c r="M31" s="131"/>
      <c r="N31" s="131">
        <f>1501922+6450040+3337564-409452-2157876</f>
        <v>8722198</v>
      </c>
      <c r="O31" s="150"/>
      <c r="P31" s="169"/>
    </row>
    <row r="32" spans="1:16" ht="31.5">
      <c r="A32" s="8"/>
      <c r="B32" s="18"/>
      <c r="C32" s="18"/>
      <c r="D32" s="18"/>
      <c r="E32" s="18"/>
      <c r="F32" s="19"/>
      <c r="G32" s="222" t="s">
        <v>657</v>
      </c>
      <c r="H32" s="7" t="s">
        <v>313</v>
      </c>
      <c r="I32" s="148"/>
      <c r="J32" s="1">
        <f>J33</f>
        <v>4324295</v>
      </c>
      <c r="K32" s="1">
        <f>K33</f>
        <v>0</v>
      </c>
      <c r="L32" s="131">
        <f>L33</f>
        <v>4324295</v>
      </c>
      <c r="M32" s="131">
        <f>M33</f>
        <v>0</v>
      </c>
      <c r="N32" s="131">
        <f>N33+N35</f>
        <v>11165400</v>
      </c>
      <c r="O32" s="175"/>
      <c r="P32" s="169"/>
    </row>
    <row r="33" spans="1:16" ht="35.25" customHeight="1">
      <c r="A33" s="8"/>
      <c r="B33" s="18"/>
      <c r="C33" s="18"/>
      <c r="D33" s="18"/>
      <c r="E33" s="18"/>
      <c r="F33" s="19"/>
      <c r="G33" s="214" t="s">
        <v>4</v>
      </c>
      <c r="H33" s="187"/>
      <c r="I33" s="148">
        <v>600</v>
      </c>
      <c r="J33" s="1">
        <f>5326100+333800-1335605</f>
        <v>4324295</v>
      </c>
      <c r="K33" s="1">
        <v>0</v>
      </c>
      <c r="L33" s="131">
        <f>K33+J33</f>
        <v>4324295</v>
      </c>
      <c r="M33" s="131"/>
      <c r="N33" s="131">
        <f>4495995+333800+1335605</f>
        <v>6165400</v>
      </c>
      <c r="O33" s="175"/>
      <c r="P33" s="169"/>
    </row>
    <row r="34" spans="1:16" ht="22.5" customHeight="1" hidden="1">
      <c r="A34" s="8"/>
      <c r="B34" s="18"/>
      <c r="C34" s="18"/>
      <c r="D34" s="18"/>
      <c r="E34" s="18"/>
      <c r="F34" s="19"/>
      <c r="G34" s="214" t="s">
        <v>1</v>
      </c>
      <c r="H34" s="187"/>
      <c r="I34" s="148">
        <v>800</v>
      </c>
      <c r="J34" s="1"/>
      <c r="K34" s="1"/>
      <c r="L34" s="131"/>
      <c r="M34" s="131"/>
      <c r="N34" s="131"/>
      <c r="O34" s="175"/>
      <c r="P34" s="169"/>
    </row>
    <row r="35" spans="1:16" ht="16.5" customHeight="1">
      <c r="A35" s="8"/>
      <c r="B35" s="18"/>
      <c r="C35" s="18"/>
      <c r="D35" s="18"/>
      <c r="E35" s="18"/>
      <c r="F35" s="19"/>
      <c r="G35" s="214" t="s">
        <v>1</v>
      </c>
      <c r="H35" s="187"/>
      <c r="I35" s="148">
        <v>800</v>
      </c>
      <c r="J35" s="1"/>
      <c r="K35" s="1"/>
      <c r="L35" s="131"/>
      <c r="M35" s="131"/>
      <c r="N35" s="131">
        <v>5000000</v>
      </c>
      <c r="O35" s="175"/>
      <c r="P35" s="169"/>
    </row>
    <row r="36" spans="1:16" s="46" customFormat="1" ht="34.5" customHeight="1">
      <c r="A36" s="43"/>
      <c r="B36" s="65"/>
      <c r="C36" s="65"/>
      <c r="D36" s="65"/>
      <c r="E36" s="65"/>
      <c r="F36" s="66"/>
      <c r="G36" s="222" t="s">
        <v>93</v>
      </c>
      <c r="H36" s="7" t="s">
        <v>314</v>
      </c>
      <c r="I36" s="148"/>
      <c r="J36" s="1">
        <f>J37+J38+J41+J40</f>
        <v>7522700</v>
      </c>
      <c r="K36" s="1">
        <f>K37+K38+K41</f>
        <v>458615</v>
      </c>
      <c r="L36" s="131">
        <f>L37+L38+L41</f>
        <v>7931315</v>
      </c>
      <c r="M36" s="131">
        <f>M37+M38+M41+M40</f>
        <v>0</v>
      </c>
      <c r="N36" s="131">
        <f>N37+N38+N41+N40</f>
        <v>8216400</v>
      </c>
      <c r="O36" s="175"/>
      <c r="P36" s="169"/>
    </row>
    <row r="37" spans="1:16" s="46" customFormat="1" ht="76.5" customHeight="1">
      <c r="A37" s="43"/>
      <c r="B37" s="65"/>
      <c r="C37" s="65"/>
      <c r="D37" s="65"/>
      <c r="E37" s="65"/>
      <c r="F37" s="66"/>
      <c r="G37" s="214" t="s">
        <v>3</v>
      </c>
      <c r="H37" s="187"/>
      <c r="I37" s="148">
        <v>100</v>
      </c>
      <c r="J37" s="1">
        <v>6318600</v>
      </c>
      <c r="K37" s="1">
        <v>460624</v>
      </c>
      <c r="L37" s="131">
        <f>K37+J37</f>
        <v>6779224</v>
      </c>
      <c r="M37" s="131"/>
      <c r="N37" s="131">
        <v>6932800</v>
      </c>
      <c r="O37" s="175"/>
      <c r="P37" s="169"/>
    </row>
    <row r="38" spans="1:16" s="46" customFormat="1" ht="33.75" customHeight="1">
      <c r="A38" s="43"/>
      <c r="B38" s="65"/>
      <c r="C38" s="65"/>
      <c r="D38" s="65"/>
      <c r="E38" s="65"/>
      <c r="F38" s="66"/>
      <c r="G38" s="214" t="s">
        <v>2</v>
      </c>
      <c r="H38" s="187"/>
      <c r="I38" s="148">
        <v>200</v>
      </c>
      <c r="J38" s="1">
        <v>1132100</v>
      </c>
      <c r="K38" s="1">
        <v>-7555</v>
      </c>
      <c r="L38" s="131">
        <f>K38+J38</f>
        <v>1124545</v>
      </c>
      <c r="M38" s="131"/>
      <c r="N38" s="131">
        <v>1265600</v>
      </c>
      <c r="O38" s="175"/>
      <c r="P38" s="169"/>
    </row>
    <row r="39" spans="1:16" ht="24" customHeight="1" hidden="1">
      <c r="A39" s="8"/>
      <c r="B39" s="18"/>
      <c r="C39" s="18"/>
      <c r="D39" s="18"/>
      <c r="E39" s="18"/>
      <c r="F39" s="19"/>
      <c r="G39" s="214" t="s">
        <v>18</v>
      </c>
      <c r="H39" s="187"/>
      <c r="I39" s="148">
        <v>400</v>
      </c>
      <c r="J39" s="149"/>
      <c r="K39" s="1"/>
      <c r="L39" s="131"/>
      <c r="M39" s="131"/>
      <c r="N39" s="131"/>
      <c r="O39" s="176"/>
      <c r="P39" s="169"/>
    </row>
    <row r="40" spans="1:16" ht="24" customHeight="1" hidden="1">
      <c r="A40" s="8"/>
      <c r="B40" s="18"/>
      <c r="C40" s="18"/>
      <c r="D40" s="18"/>
      <c r="E40" s="18"/>
      <c r="F40" s="19"/>
      <c r="G40" s="214" t="s">
        <v>5</v>
      </c>
      <c r="H40" s="187"/>
      <c r="I40" s="148">
        <v>300</v>
      </c>
      <c r="J40" s="1">
        <v>50000</v>
      </c>
      <c r="K40" s="1"/>
      <c r="L40" s="131"/>
      <c r="M40" s="131"/>
      <c r="N40" s="131"/>
      <c r="O40" s="176"/>
      <c r="P40" s="169"/>
    </row>
    <row r="41" spans="1:16" s="46" customFormat="1" ht="15" customHeight="1">
      <c r="A41" s="43"/>
      <c r="B41" s="65"/>
      <c r="C41" s="65"/>
      <c r="D41" s="65"/>
      <c r="E41" s="65"/>
      <c r="F41" s="66"/>
      <c r="G41" s="214" t="s">
        <v>1</v>
      </c>
      <c r="H41" s="187"/>
      <c r="I41" s="148">
        <v>800</v>
      </c>
      <c r="J41" s="1">
        <v>22000</v>
      </c>
      <c r="K41" s="1">
        <v>5546</v>
      </c>
      <c r="L41" s="131">
        <f>K41+J41</f>
        <v>27546</v>
      </c>
      <c r="M41" s="131"/>
      <c r="N41" s="131">
        <v>18000</v>
      </c>
      <c r="O41" s="175"/>
      <c r="P41" s="169"/>
    </row>
    <row r="42" spans="1:16" ht="33" customHeight="1" hidden="1">
      <c r="A42" s="8"/>
      <c r="B42" s="18"/>
      <c r="C42" s="18"/>
      <c r="D42" s="18"/>
      <c r="E42" s="18"/>
      <c r="F42" s="19"/>
      <c r="G42" s="222" t="s">
        <v>94</v>
      </c>
      <c r="H42" s="187" t="s">
        <v>95</v>
      </c>
      <c r="I42" s="148"/>
      <c r="J42" s="1">
        <f>J43</f>
        <v>178000</v>
      </c>
      <c r="K42" s="1"/>
      <c r="L42" s="131"/>
      <c r="M42" s="131"/>
      <c r="N42" s="131"/>
      <c r="O42" s="175"/>
      <c r="P42" s="169"/>
    </row>
    <row r="43" spans="1:16" ht="34.5" customHeight="1" hidden="1">
      <c r="A43" s="8"/>
      <c r="B43" s="18"/>
      <c r="C43" s="18"/>
      <c r="D43" s="18"/>
      <c r="E43" s="18"/>
      <c r="F43" s="19"/>
      <c r="G43" s="214" t="s">
        <v>4</v>
      </c>
      <c r="H43" s="187"/>
      <c r="I43" s="148">
        <v>600</v>
      </c>
      <c r="J43" s="1">
        <v>178000</v>
      </c>
      <c r="K43" s="1"/>
      <c r="L43" s="131"/>
      <c r="M43" s="131"/>
      <c r="N43" s="131"/>
      <c r="O43" s="175"/>
      <c r="P43" s="169"/>
    </row>
    <row r="44" spans="1:16" ht="0" customHeight="1" hidden="1">
      <c r="A44" s="8"/>
      <c r="B44" s="18"/>
      <c r="C44" s="18"/>
      <c r="D44" s="18"/>
      <c r="E44" s="18"/>
      <c r="F44" s="19"/>
      <c r="G44" s="222"/>
      <c r="H44" s="187"/>
      <c r="I44" s="148"/>
      <c r="J44" s="1"/>
      <c r="K44" s="1"/>
      <c r="L44" s="131"/>
      <c r="M44" s="131"/>
      <c r="N44" s="131"/>
      <c r="O44" s="175"/>
      <c r="P44" s="169"/>
    </row>
    <row r="45" spans="1:16" ht="36" customHeight="1">
      <c r="A45" s="8"/>
      <c r="B45" s="18"/>
      <c r="C45" s="18"/>
      <c r="D45" s="18"/>
      <c r="E45" s="18"/>
      <c r="F45" s="19"/>
      <c r="G45" s="214" t="s">
        <v>628</v>
      </c>
      <c r="H45" s="7" t="s">
        <v>629</v>
      </c>
      <c r="I45" s="148"/>
      <c r="J45" s="1">
        <f>J46</f>
        <v>1335605</v>
      </c>
      <c r="K45" s="1">
        <f>K46</f>
        <v>0</v>
      </c>
      <c r="L45" s="131">
        <f>L46</f>
        <v>1335605</v>
      </c>
      <c r="M45" s="131">
        <f>M46</f>
        <v>0</v>
      </c>
      <c r="N45" s="131">
        <f>N46</f>
        <v>1335605</v>
      </c>
      <c r="O45" s="175"/>
      <c r="P45" s="169"/>
    </row>
    <row r="46" spans="1:16" ht="33.75" customHeight="1">
      <c r="A46" s="8"/>
      <c r="B46" s="16"/>
      <c r="C46" s="16"/>
      <c r="D46" s="16"/>
      <c r="E46" s="16"/>
      <c r="F46" s="17"/>
      <c r="G46" s="214" t="s">
        <v>4</v>
      </c>
      <c r="H46" s="187"/>
      <c r="I46" s="148">
        <v>600</v>
      </c>
      <c r="J46" s="1">
        <v>1335605</v>
      </c>
      <c r="K46" s="1">
        <v>0</v>
      </c>
      <c r="L46" s="131">
        <f>K46+J46</f>
        <v>1335605</v>
      </c>
      <c r="M46" s="131"/>
      <c r="N46" s="131">
        <v>1335605</v>
      </c>
      <c r="O46" s="175"/>
      <c r="P46" s="169"/>
    </row>
    <row r="47" spans="1:16" s="46" customFormat="1" ht="34.5" customHeight="1">
      <c r="A47" s="43"/>
      <c r="B47" s="61"/>
      <c r="C47" s="61"/>
      <c r="D47" s="61"/>
      <c r="E47" s="61"/>
      <c r="F47" s="62"/>
      <c r="G47" s="214" t="s">
        <v>381</v>
      </c>
      <c r="H47" s="7" t="s">
        <v>380</v>
      </c>
      <c r="I47" s="148"/>
      <c r="J47" s="1">
        <f>J48</f>
        <v>90400</v>
      </c>
      <c r="K47" s="1">
        <f>K48</f>
        <v>0</v>
      </c>
      <c r="L47" s="131">
        <f>L48</f>
        <v>90400</v>
      </c>
      <c r="M47" s="131">
        <f>M48</f>
        <v>0</v>
      </c>
      <c r="N47" s="131">
        <f>N48</f>
        <v>90400</v>
      </c>
      <c r="O47" s="175"/>
      <c r="P47" s="169"/>
    </row>
    <row r="48" spans="1:16" s="46" customFormat="1" ht="36" customHeight="1">
      <c r="A48" s="43"/>
      <c r="B48" s="61"/>
      <c r="C48" s="61"/>
      <c r="D48" s="61"/>
      <c r="E48" s="61"/>
      <c r="F48" s="62"/>
      <c r="G48" s="214" t="s">
        <v>4</v>
      </c>
      <c r="H48" s="187"/>
      <c r="I48" s="148">
        <v>600</v>
      </c>
      <c r="J48" s="1">
        <v>90400</v>
      </c>
      <c r="K48" s="1"/>
      <c r="L48" s="131">
        <f>K48+J48</f>
        <v>90400</v>
      </c>
      <c r="M48" s="131"/>
      <c r="N48" s="131">
        <v>90400</v>
      </c>
      <c r="O48" s="175"/>
      <c r="P48" s="169"/>
    </row>
    <row r="49" spans="1:16" s="46" customFormat="1" ht="71.25" customHeight="1" hidden="1">
      <c r="A49" s="43"/>
      <c r="B49" s="61"/>
      <c r="C49" s="61"/>
      <c r="D49" s="61"/>
      <c r="E49" s="61"/>
      <c r="F49" s="62"/>
      <c r="G49" s="214" t="s">
        <v>248</v>
      </c>
      <c r="H49" s="7" t="s">
        <v>477</v>
      </c>
      <c r="I49" s="148"/>
      <c r="J49" s="1">
        <f>J50</f>
        <v>0</v>
      </c>
      <c r="K49" s="1"/>
      <c r="L49" s="131"/>
      <c r="M49" s="131"/>
      <c r="N49" s="131"/>
      <c r="O49" s="175"/>
      <c r="P49" s="169"/>
    </row>
    <row r="50" spans="1:16" s="46" customFormat="1" ht="40.5" customHeight="1" hidden="1">
      <c r="A50" s="43"/>
      <c r="B50" s="61"/>
      <c r="C50" s="61"/>
      <c r="D50" s="61"/>
      <c r="E50" s="61"/>
      <c r="F50" s="62"/>
      <c r="G50" s="214" t="s">
        <v>4</v>
      </c>
      <c r="H50" s="187"/>
      <c r="I50" s="148">
        <v>600</v>
      </c>
      <c r="J50" s="1"/>
      <c r="K50" s="1"/>
      <c r="L50" s="131"/>
      <c r="M50" s="131"/>
      <c r="N50" s="131"/>
      <c r="O50" s="175"/>
      <c r="P50" s="169"/>
    </row>
    <row r="51" spans="1:16" s="46" customFormat="1" ht="48.75" customHeight="1">
      <c r="A51" s="43"/>
      <c r="B51" s="61"/>
      <c r="C51" s="61"/>
      <c r="D51" s="61"/>
      <c r="E51" s="61"/>
      <c r="F51" s="62"/>
      <c r="G51" s="214" t="s">
        <v>790</v>
      </c>
      <c r="H51" s="7" t="s">
        <v>787</v>
      </c>
      <c r="I51" s="148"/>
      <c r="J51" s="1"/>
      <c r="K51" s="1"/>
      <c r="L51" s="131"/>
      <c r="M51" s="131"/>
      <c r="N51" s="131">
        <f>N52</f>
        <v>0</v>
      </c>
      <c r="O51" s="175"/>
      <c r="P51" s="169"/>
    </row>
    <row r="52" spans="1:16" s="46" customFormat="1" ht="33" customHeight="1">
      <c r="A52" s="43"/>
      <c r="B52" s="61"/>
      <c r="C52" s="61"/>
      <c r="D52" s="61"/>
      <c r="E52" s="61"/>
      <c r="F52" s="62"/>
      <c r="G52" s="214" t="s">
        <v>4</v>
      </c>
      <c r="H52" s="187"/>
      <c r="I52" s="148">
        <v>600</v>
      </c>
      <c r="J52" s="1"/>
      <c r="K52" s="1"/>
      <c r="L52" s="131"/>
      <c r="M52" s="131"/>
      <c r="N52" s="131"/>
      <c r="O52" s="175"/>
      <c r="P52" s="169"/>
    </row>
    <row r="53" spans="1:16" s="46" customFormat="1" ht="48" customHeight="1">
      <c r="A53" s="43"/>
      <c r="B53" s="61"/>
      <c r="C53" s="61"/>
      <c r="D53" s="61"/>
      <c r="E53" s="61"/>
      <c r="F53" s="62"/>
      <c r="G53" s="214" t="s">
        <v>788</v>
      </c>
      <c r="H53" s="7" t="s">
        <v>789</v>
      </c>
      <c r="I53" s="148"/>
      <c r="J53" s="1"/>
      <c r="K53" s="1"/>
      <c r="L53" s="131"/>
      <c r="M53" s="131"/>
      <c r="N53" s="131">
        <f>N54</f>
        <v>0</v>
      </c>
      <c r="O53" s="175"/>
      <c r="P53" s="169"/>
    </row>
    <row r="54" spans="1:16" s="46" customFormat="1" ht="37.5" customHeight="1">
      <c r="A54" s="43"/>
      <c r="B54" s="61"/>
      <c r="C54" s="61"/>
      <c r="D54" s="61"/>
      <c r="E54" s="61"/>
      <c r="F54" s="62"/>
      <c r="G54" s="214" t="s">
        <v>4</v>
      </c>
      <c r="H54" s="187"/>
      <c r="I54" s="148">
        <v>600</v>
      </c>
      <c r="J54" s="1"/>
      <c r="K54" s="1"/>
      <c r="L54" s="131"/>
      <c r="M54" s="131"/>
      <c r="N54" s="131"/>
      <c r="O54" s="175"/>
      <c r="P54" s="169"/>
    </row>
    <row r="55" spans="1:16" s="46" customFormat="1" ht="36.75" customHeight="1">
      <c r="A55" s="43"/>
      <c r="B55" s="61"/>
      <c r="C55" s="61"/>
      <c r="D55" s="61"/>
      <c r="E55" s="61"/>
      <c r="F55" s="62"/>
      <c r="G55" s="214" t="s">
        <v>864</v>
      </c>
      <c r="H55" s="7" t="s">
        <v>863</v>
      </c>
      <c r="I55" s="148"/>
      <c r="J55" s="1">
        <f>J56</f>
        <v>95312594</v>
      </c>
      <c r="K55" s="1">
        <f>K56</f>
        <v>0</v>
      </c>
      <c r="L55" s="131">
        <f>L56</f>
        <v>95312594</v>
      </c>
      <c r="M55" s="131">
        <f>M56</f>
        <v>0</v>
      </c>
      <c r="N55" s="131">
        <f>N56</f>
        <v>142222524</v>
      </c>
      <c r="O55" s="150"/>
      <c r="P55" s="169"/>
    </row>
    <row r="56" spans="1:16" s="46" customFormat="1" ht="44.25" customHeight="1">
      <c r="A56" s="43"/>
      <c r="B56" s="61"/>
      <c r="C56" s="61"/>
      <c r="D56" s="61"/>
      <c r="E56" s="61"/>
      <c r="F56" s="62"/>
      <c r="G56" s="214" t="s">
        <v>4</v>
      </c>
      <c r="H56" s="187"/>
      <c r="I56" s="148">
        <v>600</v>
      </c>
      <c r="J56" s="1">
        <v>95312594</v>
      </c>
      <c r="K56" s="1"/>
      <c r="L56" s="131">
        <f>K56+J56</f>
        <v>95312594</v>
      </c>
      <c r="M56" s="131"/>
      <c r="N56" s="215">
        <f>140383592+596461+1242471</f>
        <v>142222524</v>
      </c>
      <c r="O56" s="150"/>
      <c r="P56" s="169"/>
    </row>
    <row r="57" spans="1:16" s="46" customFormat="1" ht="40.5" customHeight="1" hidden="1">
      <c r="A57" s="43"/>
      <c r="B57" s="61"/>
      <c r="C57" s="61"/>
      <c r="D57" s="61"/>
      <c r="E57" s="61"/>
      <c r="F57" s="62"/>
      <c r="G57" s="214" t="s">
        <v>151</v>
      </c>
      <c r="H57" s="7" t="s">
        <v>478</v>
      </c>
      <c r="I57" s="148"/>
      <c r="J57" s="1">
        <f>J58</f>
        <v>27001255</v>
      </c>
      <c r="K57" s="1">
        <f>K58</f>
        <v>0</v>
      </c>
      <c r="L57" s="131">
        <f>L58</f>
        <v>27001255</v>
      </c>
      <c r="M57" s="131">
        <f>M58</f>
        <v>0</v>
      </c>
      <c r="N57" s="131">
        <f>N58</f>
        <v>0</v>
      </c>
      <c r="O57" s="150"/>
      <c r="P57" s="169"/>
    </row>
    <row r="58" spans="1:16" s="46" customFormat="1" ht="42" customHeight="1" hidden="1">
      <c r="A58" s="43"/>
      <c r="B58" s="61"/>
      <c r="C58" s="61"/>
      <c r="D58" s="61"/>
      <c r="E58" s="61"/>
      <c r="F58" s="62"/>
      <c r="G58" s="214" t="s">
        <v>4</v>
      </c>
      <c r="H58" s="187"/>
      <c r="I58" s="148">
        <v>600</v>
      </c>
      <c r="J58" s="1">
        <v>27001255</v>
      </c>
      <c r="K58" s="1"/>
      <c r="L58" s="131">
        <f>K58+J58</f>
        <v>27001255</v>
      </c>
      <c r="M58" s="131"/>
      <c r="N58" s="131"/>
      <c r="O58" s="150"/>
      <c r="P58" s="169"/>
    </row>
    <row r="59" spans="1:16" s="46" customFormat="1" ht="42.75" customHeight="1">
      <c r="A59" s="43"/>
      <c r="B59" s="61"/>
      <c r="C59" s="61"/>
      <c r="D59" s="61"/>
      <c r="E59" s="61"/>
      <c r="F59" s="62"/>
      <c r="G59" s="214" t="s">
        <v>563</v>
      </c>
      <c r="H59" s="7" t="s">
        <v>562</v>
      </c>
      <c r="I59" s="148"/>
      <c r="J59" s="1">
        <f>J60</f>
        <v>867504</v>
      </c>
      <c r="K59" s="1">
        <f>K60</f>
        <v>0</v>
      </c>
      <c r="L59" s="131">
        <f>L60</f>
        <v>867504</v>
      </c>
      <c r="M59" s="131">
        <f>M60</f>
        <v>0</v>
      </c>
      <c r="N59" s="131">
        <f>N60</f>
        <v>1439336</v>
      </c>
      <c r="O59" s="150"/>
      <c r="P59" s="169"/>
    </row>
    <row r="60" spans="1:16" s="46" customFormat="1" ht="31.5">
      <c r="A60" s="43"/>
      <c r="B60" s="61"/>
      <c r="C60" s="61"/>
      <c r="D60" s="61"/>
      <c r="E60" s="61"/>
      <c r="F60" s="62"/>
      <c r="G60" s="214" t="s">
        <v>4</v>
      </c>
      <c r="H60" s="187"/>
      <c r="I60" s="148">
        <v>600</v>
      </c>
      <c r="J60" s="1">
        <v>867504</v>
      </c>
      <c r="K60" s="1"/>
      <c r="L60" s="131">
        <f>K60+J60</f>
        <v>867504</v>
      </c>
      <c r="M60" s="131"/>
      <c r="N60" s="131">
        <v>1439336</v>
      </c>
      <c r="O60" s="150"/>
      <c r="P60" s="169"/>
    </row>
    <row r="61" spans="1:16" s="46" customFormat="1" ht="47.25" hidden="1">
      <c r="A61" s="43"/>
      <c r="B61" s="61"/>
      <c r="C61" s="61"/>
      <c r="D61" s="61"/>
      <c r="E61" s="61"/>
      <c r="F61" s="62"/>
      <c r="G61" s="214" t="s">
        <v>721</v>
      </c>
      <c r="H61" s="7" t="s">
        <v>722</v>
      </c>
      <c r="I61" s="148"/>
      <c r="J61" s="1"/>
      <c r="K61" s="1"/>
      <c r="L61" s="131"/>
      <c r="M61" s="131"/>
      <c r="N61" s="131">
        <f>N62</f>
        <v>0</v>
      </c>
      <c r="O61" s="150"/>
      <c r="P61" s="169"/>
    </row>
    <row r="62" spans="1:16" s="46" customFormat="1" ht="31.5" hidden="1">
      <c r="A62" s="43"/>
      <c r="B62" s="61"/>
      <c r="C62" s="61"/>
      <c r="D62" s="61"/>
      <c r="E62" s="61"/>
      <c r="F62" s="62"/>
      <c r="G62" s="214" t="s">
        <v>4</v>
      </c>
      <c r="H62" s="187"/>
      <c r="I62" s="148">
        <v>600</v>
      </c>
      <c r="J62" s="1"/>
      <c r="K62" s="1"/>
      <c r="L62" s="131"/>
      <c r="M62" s="131"/>
      <c r="N62" s="131"/>
      <c r="O62" s="150"/>
      <c r="P62" s="169"/>
    </row>
    <row r="63" spans="1:16" s="46" customFormat="1" ht="37.5" customHeight="1" hidden="1">
      <c r="A63" s="43"/>
      <c r="B63" s="61"/>
      <c r="C63" s="61"/>
      <c r="D63" s="61"/>
      <c r="E63" s="61"/>
      <c r="F63" s="62"/>
      <c r="G63" s="214" t="s">
        <v>719</v>
      </c>
      <c r="H63" s="7" t="s">
        <v>720</v>
      </c>
      <c r="I63" s="148"/>
      <c r="J63" s="1"/>
      <c r="K63" s="1"/>
      <c r="L63" s="131"/>
      <c r="M63" s="131"/>
      <c r="N63" s="131">
        <f>N64</f>
        <v>0</v>
      </c>
      <c r="O63" s="150"/>
      <c r="P63" s="169"/>
    </row>
    <row r="64" spans="1:16" s="46" customFormat="1" ht="31.5" hidden="1">
      <c r="A64" s="43"/>
      <c r="B64" s="61"/>
      <c r="C64" s="61"/>
      <c r="D64" s="61"/>
      <c r="E64" s="61"/>
      <c r="F64" s="62"/>
      <c r="G64" s="214" t="s">
        <v>4</v>
      </c>
      <c r="H64" s="187"/>
      <c r="I64" s="148">
        <v>600</v>
      </c>
      <c r="J64" s="1"/>
      <c r="K64" s="1"/>
      <c r="L64" s="131"/>
      <c r="M64" s="131"/>
      <c r="N64" s="131"/>
      <c r="O64" s="150"/>
      <c r="P64" s="169"/>
    </row>
    <row r="65" spans="1:16" ht="50.25" customHeight="1">
      <c r="A65" s="8"/>
      <c r="B65" s="16"/>
      <c r="C65" s="16"/>
      <c r="D65" s="16"/>
      <c r="E65" s="16"/>
      <c r="F65" s="17"/>
      <c r="G65" s="212" t="s">
        <v>316</v>
      </c>
      <c r="H65" s="147" t="s">
        <v>315</v>
      </c>
      <c r="I65" s="148"/>
      <c r="J65" s="1">
        <f>J66+J68+J70+J77+J79+J85+J89</f>
        <v>44708218</v>
      </c>
      <c r="K65" s="1">
        <f>K66+K68+K70+K77+K79+K85</f>
        <v>0</v>
      </c>
      <c r="L65" s="131">
        <f>L66+L68+L70+L77+L79+L85</f>
        <v>41515711</v>
      </c>
      <c r="M65" s="131">
        <f>M66+M68+M70+M77+M79+M85+M89</f>
        <v>0</v>
      </c>
      <c r="N65" s="131">
        <f>N66+N68+N70+N77+N79+N85+N89+N87</f>
        <v>50858994</v>
      </c>
      <c r="O65" s="150"/>
      <c r="P65" s="169"/>
    </row>
    <row r="66" spans="1:16" s="46" customFormat="1" ht="58.5" customHeight="1" hidden="1">
      <c r="A66" s="43"/>
      <c r="B66" s="61"/>
      <c r="C66" s="61"/>
      <c r="D66" s="61"/>
      <c r="E66" s="61"/>
      <c r="F66" s="62"/>
      <c r="G66" s="214" t="s">
        <v>493</v>
      </c>
      <c r="H66" s="7" t="s">
        <v>317</v>
      </c>
      <c r="I66" s="148"/>
      <c r="J66" s="1">
        <f>J67</f>
        <v>149794</v>
      </c>
      <c r="K66" s="1">
        <f>K67</f>
        <v>0</v>
      </c>
      <c r="L66" s="131">
        <f>L67</f>
        <v>149794</v>
      </c>
      <c r="M66" s="131">
        <f>M67</f>
        <v>0</v>
      </c>
      <c r="N66" s="131">
        <f>N67</f>
        <v>0</v>
      </c>
      <c r="O66" s="150"/>
      <c r="P66" s="169"/>
    </row>
    <row r="67" spans="1:16" s="46" customFormat="1" ht="26.25" customHeight="1" hidden="1">
      <c r="A67" s="43"/>
      <c r="B67" s="61"/>
      <c r="C67" s="61"/>
      <c r="D67" s="61"/>
      <c r="E67" s="61"/>
      <c r="F67" s="62"/>
      <c r="G67" s="214" t="s">
        <v>5</v>
      </c>
      <c r="H67" s="147"/>
      <c r="I67" s="148">
        <v>300</v>
      </c>
      <c r="J67" s="1">
        <v>149794</v>
      </c>
      <c r="K67" s="1"/>
      <c r="L67" s="131">
        <f>K67+J67</f>
        <v>149794</v>
      </c>
      <c r="M67" s="131"/>
      <c r="N67" s="131"/>
      <c r="O67" s="175"/>
      <c r="P67" s="169"/>
    </row>
    <row r="68" spans="1:16" s="46" customFormat="1" ht="66.75" customHeight="1">
      <c r="A68" s="43"/>
      <c r="B68" s="254" t="s">
        <v>84</v>
      </c>
      <c r="C68" s="254"/>
      <c r="D68" s="254"/>
      <c r="E68" s="254"/>
      <c r="F68" s="255"/>
      <c r="G68" s="214" t="s">
        <v>551</v>
      </c>
      <c r="H68" s="7" t="s">
        <v>318</v>
      </c>
      <c r="I68" s="148" t="s">
        <v>0</v>
      </c>
      <c r="J68" s="1">
        <f>J69</f>
        <v>1601530</v>
      </c>
      <c r="K68" s="1">
        <f>K69</f>
        <v>0</v>
      </c>
      <c r="L68" s="131">
        <f>L69</f>
        <v>1601530</v>
      </c>
      <c r="M68" s="131">
        <f>M69</f>
        <v>0</v>
      </c>
      <c r="N68" s="131">
        <f>N69</f>
        <v>2000442</v>
      </c>
      <c r="O68" s="150"/>
      <c r="P68" s="169"/>
    </row>
    <row r="69" spans="1:16" s="46" customFormat="1" ht="36" customHeight="1">
      <c r="A69" s="43"/>
      <c r="B69" s="250">
        <v>500</v>
      </c>
      <c r="C69" s="250"/>
      <c r="D69" s="250"/>
      <c r="E69" s="250"/>
      <c r="F69" s="251"/>
      <c r="G69" s="214" t="s">
        <v>4</v>
      </c>
      <c r="H69" s="7" t="s">
        <v>0</v>
      </c>
      <c r="I69" s="148">
        <v>600</v>
      </c>
      <c r="J69" s="1">
        <v>1601530</v>
      </c>
      <c r="K69" s="1"/>
      <c r="L69" s="131">
        <f>K69+J69</f>
        <v>1601530</v>
      </c>
      <c r="M69" s="131"/>
      <c r="N69" s="131">
        <v>2000442</v>
      </c>
      <c r="O69" s="150"/>
      <c r="P69" s="169"/>
    </row>
    <row r="70" spans="1:16" s="46" customFormat="1" ht="39" customHeight="1">
      <c r="A70" s="43"/>
      <c r="B70" s="254" t="s">
        <v>83</v>
      </c>
      <c r="C70" s="254"/>
      <c r="D70" s="254"/>
      <c r="E70" s="254"/>
      <c r="F70" s="255"/>
      <c r="G70" s="214" t="s">
        <v>127</v>
      </c>
      <c r="H70" s="7" t="s">
        <v>319</v>
      </c>
      <c r="I70" s="148" t="s">
        <v>0</v>
      </c>
      <c r="J70" s="1">
        <f>J72+J71</f>
        <v>9484600</v>
      </c>
      <c r="K70" s="1">
        <f>K72+K71</f>
        <v>0</v>
      </c>
      <c r="L70" s="131">
        <f>L72+L71</f>
        <v>9484600</v>
      </c>
      <c r="M70" s="131"/>
      <c r="N70" s="131">
        <f>N72+N71</f>
        <v>9557577</v>
      </c>
      <c r="O70" s="175"/>
      <c r="P70" s="169"/>
    </row>
    <row r="71" spans="1:16" s="46" customFormat="1" ht="32.25" customHeight="1">
      <c r="A71" s="43"/>
      <c r="B71" s="44"/>
      <c r="C71" s="44"/>
      <c r="D71" s="44"/>
      <c r="E71" s="44"/>
      <c r="F71" s="45"/>
      <c r="G71" s="214" t="s">
        <v>2</v>
      </c>
      <c r="H71" s="7"/>
      <c r="I71" s="148">
        <v>200</v>
      </c>
      <c r="J71" s="1">
        <v>24301</v>
      </c>
      <c r="K71" s="1"/>
      <c r="L71" s="131">
        <f>K71+J71</f>
        <v>24301</v>
      </c>
      <c r="M71" s="131"/>
      <c r="N71" s="131">
        <f>23403+1375</f>
        <v>24778</v>
      </c>
      <c r="O71" s="175"/>
      <c r="P71" s="169"/>
    </row>
    <row r="72" spans="1:16" s="46" customFormat="1" ht="25.5" customHeight="1">
      <c r="A72" s="43"/>
      <c r="B72" s="250">
        <v>500</v>
      </c>
      <c r="C72" s="250"/>
      <c r="D72" s="250"/>
      <c r="E72" s="250"/>
      <c r="F72" s="251"/>
      <c r="G72" s="214" t="s">
        <v>5</v>
      </c>
      <c r="H72" s="7" t="s">
        <v>0</v>
      </c>
      <c r="I72" s="148">
        <v>300</v>
      </c>
      <c r="J72" s="1">
        <v>9460299</v>
      </c>
      <c r="K72" s="1"/>
      <c r="L72" s="131">
        <f>K72+J72</f>
        <v>9460299</v>
      </c>
      <c r="M72" s="131"/>
      <c r="N72" s="131">
        <f>9002868+529931</f>
        <v>9532799</v>
      </c>
      <c r="O72" s="175"/>
      <c r="P72" s="169"/>
    </row>
    <row r="73" spans="1:16" ht="31.5" hidden="1">
      <c r="A73" s="8"/>
      <c r="B73" s="252" t="s">
        <v>82</v>
      </c>
      <c r="C73" s="252"/>
      <c r="D73" s="252"/>
      <c r="E73" s="252"/>
      <c r="F73" s="253"/>
      <c r="G73" s="214" t="s">
        <v>128</v>
      </c>
      <c r="H73" s="7" t="s">
        <v>81</v>
      </c>
      <c r="I73" s="148" t="s">
        <v>0</v>
      </c>
      <c r="J73" s="1">
        <f>J74</f>
        <v>1613000</v>
      </c>
      <c r="K73" s="1"/>
      <c r="L73" s="131"/>
      <c r="M73" s="131"/>
      <c r="N73" s="131"/>
      <c r="O73" s="175"/>
      <c r="P73" s="169"/>
    </row>
    <row r="74" spans="1:16" ht="29.25" customHeight="1" hidden="1">
      <c r="A74" s="8"/>
      <c r="B74" s="260">
        <v>500</v>
      </c>
      <c r="C74" s="260"/>
      <c r="D74" s="260"/>
      <c r="E74" s="260"/>
      <c r="F74" s="261"/>
      <c r="G74" s="214" t="s">
        <v>4</v>
      </c>
      <c r="H74" s="7" t="s">
        <v>0</v>
      </c>
      <c r="I74" s="148">
        <v>600</v>
      </c>
      <c r="J74" s="1">
        <v>1613000</v>
      </c>
      <c r="K74" s="1"/>
      <c r="L74" s="131"/>
      <c r="M74" s="131"/>
      <c r="N74" s="131"/>
      <c r="O74" s="175"/>
      <c r="P74" s="169"/>
    </row>
    <row r="75" spans="1:16" ht="28.5" customHeight="1" hidden="1">
      <c r="A75" s="8"/>
      <c r="B75" s="24"/>
      <c r="C75" s="24"/>
      <c r="D75" s="24"/>
      <c r="E75" s="24"/>
      <c r="F75" s="25"/>
      <c r="G75" s="214" t="s">
        <v>252</v>
      </c>
      <c r="H75" s="121" t="s">
        <v>264</v>
      </c>
      <c r="I75" s="148"/>
      <c r="J75" s="1">
        <f>J76</f>
        <v>0</v>
      </c>
      <c r="K75" s="1"/>
      <c r="L75" s="131"/>
      <c r="M75" s="131"/>
      <c r="N75" s="131"/>
      <c r="O75" s="175"/>
      <c r="P75" s="169"/>
    </row>
    <row r="76" spans="1:16" ht="39.75" customHeight="1" hidden="1">
      <c r="A76" s="8"/>
      <c r="B76" s="24"/>
      <c r="C76" s="24"/>
      <c r="D76" s="24"/>
      <c r="E76" s="24"/>
      <c r="F76" s="25"/>
      <c r="G76" s="214" t="s">
        <v>4</v>
      </c>
      <c r="H76" s="7"/>
      <c r="I76" s="148">
        <v>600</v>
      </c>
      <c r="J76" s="1"/>
      <c r="K76" s="1"/>
      <c r="L76" s="131"/>
      <c r="M76" s="131"/>
      <c r="N76" s="131"/>
      <c r="O76" s="175"/>
      <c r="P76" s="169"/>
    </row>
    <row r="77" spans="1:16" s="46" customFormat="1" ht="57.75" customHeight="1">
      <c r="A77" s="43"/>
      <c r="B77" s="254" t="s">
        <v>80</v>
      </c>
      <c r="C77" s="254"/>
      <c r="D77" s="254"/>
      <c r="E77" s="254"/>
      <c r="F77" s="255"/>
      <c r="G77" s="214" t="s">
        <v>492</v>
      </c>
      <c r="H77" s="7" t="s">
        <v>320</v>
      </c>
      <c r="I77" s="148" t="s">
        <v>0</v>
      </c>
      <c r="J77" s="1">
        <f>J78</f>
        <v>23664700</v>
      </c>
      <c r="K77" s="1">
        <f>K78</f>
        <v>0</v>
      </c>
      <c r="L77" s="131">
        <f>L78</f>
        <v>23664700</v>
      </c>
      <c r="M77" s="131">
        <f>M78</f>
        <v>0</v>
      </c>
      <c r="N77" s="131">
        <f>N78</f>
        <v>27881641</v>
      </c>
      <c r="O77" s="150"/>
      <c r="P77" s="169"/>
    </row>
    <row r="78" spans="1:16" s="46" customFormat="1" ht="33.75" customHeight="1">
      <c r="A78" s="43"/>
      <c r="B78" s="250">
        <v>500</v>
      </c>
      <c r="C78" s="250"/>
      <c r="D78" s="250"/>
      <c r="E78" s="250"/>
      <c r="F78" s="251"/>
      <c r="G78" s="214" t="s">
        <v>4</v>
      </c>
      <c r="H78" s="7" t="s">
        <v>0</v>
      </c>
      <c r="I78" s="148">
        <v>600</v>
      </c>
      <c r="J78" s="1">
        <v>23664700</v>
      </c>
      <c r="K78" s="1"/>
      <c r="L78" s="131">
        <f>K78+J78</f>
        <v>23664700</v>
      </c>
      <c r="M78" s="131"/>
      <c r="N78" s="131">
        <f>27387265+494376</f>
        <v>27881641</v>
      </c>
      <c r="O78" s="150"/>
      <c r="P78" s="169"/>
    </row>
    <row r="79" spans="1:16" s="46" customFormat="1" ht="19.5" customHeight="1">
      <c r="A79" s="43"/>
      <c r="B79" s="254" t="s">
        <v>79</v>
      </c>
      <c r="C79" s="254"/>
      <c r="D79" s="254"/>
      <c r="E79" s="254"/>
      <c r="F79" s="255"/>
      <c r="G79" s="214" t="s">
        <v>491</v>
      </c>
      <c r="H79" s="7" t="s">
        <v>321</v>
      </c>
      <c r="I79" s="148" t="s">
        <v>0</v>
      </c>
      <c r="J79" s="1">
        <f>J81+J80+J84</f>
        <v>1479350</v>
      </c>
      <c r="K79" s="1">
        <f>K81+K80+K84</f>
        <v>0</v>
      </c>
      <c r="L79" s="131">
        <f>L81+L80+L84</f>
        <v>1479350</v>
      </c>
      <c r="M79" s="131">
        <f>M81+M80+M84</f>
        <v>0</v>
      </c>
      <c r="N79" s="131">
        <f>N81+N80+N84</f>
        <v>1511526</v>
      </c>
      <c r="O79" s="175"/>
      <c r="P79" s="169"/>
    </row>
    <row r="80" spans="1:16" s="46" customFormat="1" ht="35.25" customHeight="1" hidden="1">
      <c r="A80" s="43"/>
      <c r="B80" s="44"/>
      <c r="C80" s="44"/>
      <c r="D80" s="44"/>
      <c r="E80" s="44"/>
      <c r="F80" s="45"/>
      <c r="G80" s="214" t="s">
        <v>2</v>
      </c>
      <c r="H80" s="7"/>
      <c r="I80" s="148">
        <v>200</v>
      </c>
      <c r="J80" s="1"/>
      <c r="K80" s="1"/>
      <c r="L80" s="131"/>
      <c r="M80" s="131"/>
      <c r="N80" s="131"/>
      <c r="O80" s="175"/>
      <c r="P80" s="169"/>
    </row>
    <row r="81" spans="1:16" s="46" customFormat="1" ht="35.25" customHeight="1">
      <c r="A81" s="43"/>
      <c r="B81" s="250">
        <v>500</v>
      </c>
      <c r="C81" s="250"/>
      <c r="D81" s="250"/>
      <c r="E81" s="250"/>
      <c r="F81" s="251"/>
      <c r="G81" s="214" t="s">
        <v>2</v>
      </c>
      <c r="H81" s="7" t="s">
        <v>0</v>
      </c>
      <c r="I81" s="148">
        <v>200</v>
      </c>
      <c r="J81" s="1">
        <v>4040</v>
      </c>
      <c r="K81" s="1"/>
      <c r="L81" s="131">
        <f>K81+J81</f>
        <v>4040</v>
      </c>
      <c r="M81" s="131"/>
      <c r="N81" s="131">
        <v>5891</v>
      </c>
      <c r="O81" s="175"/>
      <c r="P81" s="169"/>
    </row>
    <row r="82" spans="1:16" s="46" customFormat="1" ht="47.25" hidden="1">
      <c r="A82" s="43"/>
      <c r="B82" s="254" t="s">
        <v>78</v>
      </c>
      <c r="C82" s="254"/>
      <c r="D82" s="254"/>
      <c r="E82" s="254"/>
      <c r="F82" s="255"/>
      <c r="G82" s="214" t="s">
        <v>248</v>
      </c>
      <c r="H82" s="7" t="s">
        <v>322</v>
      </c>
      <c r="I82" s="148" t="s">
        <v>0</v>
      </c>
      <c r="J82" s="1">
        <f>J83</f>
        <v>0</v>
      </c>
      <c r="K82" s="1"/>
      <c r="L82" s="131"/>
      <c r="M82" s="131"/>
      <c r="N82" s="131"/>
      <c r="O82" s="175"/>
      <c r="P82" s="169"/>
    </row>
    <row r="83" spans="1:16" s="46" customFormat="1" ht="39" customHeight="1" hidden="1">
      <c r="A83" s="43"/>
      <c r="B83" s="250">
        <v>500</v>
      </c>
      <c r="C83" s="250"/>
      <c r="D83" s="250"/>
      <c r="E83" s="250"/>
      <c r="F83" s="251"/>
      <c r="G83" s="214" t="s">
        <v>4</v>
      </c>
      <c r="H83" s="7" t="s">
        <v>0</v>
      </c>
      <c r="I83" s="148">
        <v>600</v>
      </c>
      <c r="J83" s="1">
        <v>0</v>
      </c>
      <c r="K83" s="1"/>
      <c r="L83" s="131"/>
      <c r="M83" s="131"/>
      <c r="N83" s="131"/>
      <c r="O83" s="175"/>
      <c r="P83" s="169"/>
    </row>
    <row r="84" spans="1:16" s="46" customFormat="1" ht="26.25" customHeight="1">
      <c r="A84" s="43"/>
      <c r="B84" s="44"/>
      <c r="C84" s="44"/>
      <c r="D84" s="44"/>
      <c r="E84" s="44"/>
      <c r="F84" s="45"/>
      <c r="G84" s="214" t="s">
        <v>5</v>
      </c>
      <c r="H84" s="7"/>
      <c r="I84" s="148">
        <v>300</v>
      </c>
      <c r="J84" s="1">
        <v>1475310</v>
      </c>
      <c r="K84" s="1"/>
      <c r="L84" s="131">
        <f>K84+J84</f>
        <v>1475310</v>
      </c>
      <c r="M84" s="131"/>
      <c r="N84" s="131">
        <f>1491380+14255</f>
        <v>1505635</v>
      </c>
      <c r="O84" s="175"/>
      <c r="P84" s="169"/>
    </row>
    <row r="85" spans="1:16" s="46" customFormat="1" ht="19.5" customHeight="1">
      <c r="A85" s="43"/>
      <c r="B85" s="254" t="s">
        <v>77</v>
      </c>
      <c r="C85" s="254"/>
      <c r="D85" s="254"/>
      <c r="E85" s="254"/>
      <c r="F85" s="255"/>
      <c r="G85" s="214" t="s">
        <v>552</v>
      </c>
      <c r="H85" s="7" t="s">
        <v>323</v>
      </c>
      <c r="I85" s="148" t="s">
        <v>0</v>
      </c>
      <c r="J85" s="1">
        <f>J86</f>
        <v>5135737</v>
      </c>
      <c r="K85" s="1">
        <f>K95</f>
        <v>0</v>
      </c>
      <c r="L85" s="131">
        <f>L95</f>
        <v>5135737</v>
      </c>
      <c r="M85" s="131">
        <f>M86</f>
        <v>0</v>
      </c>
      <c r="N85" s="131">
        <f>N86</f>
        <v>5881463</v>
      </c>
      <c r="O85" s="150"/>
      <c r="P85" s="169"/>
    </row>
    <row r="86" spans="1:16" s="46" customFormat="1" ht="31.5">
      <c r="A86" s="43"/>
      <c r="B86" s="145"/>
      <c r="C86" s="145"/>
      <c r="D86" s="145"/>
      <c r="E86" s="145"/>
      <c r="F86" s="146"/>
      <c r="G86" s="214" t="s">
        <v>4</v>
      </c>
      <c r="H86" s="7" t="s">
        <v>0</v>
      </c>
      <c r="I86" s="148">
        <v>600</v>
      </c>
      <c r="J86" s="1">
        <v>5135737</v>
      </c>
      <c r="K86" s="1"/>
      <c r="L86" s="131"/>
      <c r="M86" s="131"/>
      <c r="N86" s="131">
        <v>5881463</v>
      </c>
      <c r="O86" s="150"/>
      <c r="P86" s="169"/>
    </row>
    <row r="87" spans="1:16" s="46" customFormat="1" ht="63">
      <c r="A87" s="43"/>
      <c r="B87" s="205"/>
      <c r="C87" s="205"/>
      <c r="D87" s="205"/>
      <c r="E87" s="205"/>
      <c r="F87" s="206"/>
      <c r="G87" s="214" t="s">
        <v>792</v>
      </c>
      <c r="H87" s="7" t="s">
        <v>791</v>
      </c>
      <c r="I87" s="148"/>
      <c r="J87" s="1"/>
      <c r="K87" s="1"/>
      <c r="L87" s="131"/>
      <c r="M87" s="131"/>
      <c r="N87" s="131">
        <f>N88</f>
        <v>0</v>
      </c>
      <c r="O87" s="150"/>
      <c r="P87" s="169"/>
    </row>
    <row r="88" spans="1:16" s="46" customFormat="1" ht="31.5">
      <c r="A88" s="43"/>
      <c r="B88" s="205"/>
      <c r="C88" s="205"/>
      <c r="D88" s="205"/>
      <c r="E88" s="205"/>
      <c r="F88" s="206"/>
      <c r="G88" s="214" t="s">
        <v>4</v>
      </c>
      <c r="H88" s="7" t="s">
        <v>0</v>
      </c>
      <c r="I88" s="148">
        <v>600</v>
      </c>
      <c r="J88" s="1"/>
      <c r="K88" s="1"/>
      <c r="L88" s="131"/>
      <c r="M88" s="131"/>
      <c r="N88" s="131"/>
      <c r="O88" s="150"/>
      <c r="P88" s="169"/>
    </row>
    <row r="89" spans="1:16" s="46" customFormat="1" ht="47.25">
      <c r="A89" s="43"/>
      <c r="B89" s="152"/>
      <c r="C89" s="152"/>
      <c r="D89" s="152"/>
      <c r="E89" s="152"/>
      <c r="F89" s="153"/>
      <c r="G89" s="214" t="s">
        <v>674</v>
      </c>
      <c r="H89" s="7" t="s">
        <v>673</v>
      </c>
      <c r="I89" s="148"/>
      <c r="J89" s="1">
        <f>J90</f>
        <v>3192507</v>
      </c>
      <c r="K89" s="1"/>
      <c r="L89" s="131"/>
      <c r="M89" s="131">
        <f>M90</f>
        <v>0</v>
      </c>
      <c r="N89" s="131">
        <f>N90</f>
        <v>4026345</v>
      </c>
      <c r="O89" s="175"/>
      <c r="P89" s="169"/>
    </row>
    <row r="90" spans="1:16" s="46" customFormat="1" ht="31.5">
      <c r="A90" s="43"/>
      <c r="B90" s="152"/>
      <c r="C90" s="152"/>
      <c r="D90" s="152"/>
      <c r="E90" s="152"/>
      <c r="F90" s="153"/>
      <c r="G90" s="214" t="s">
        <v>4</v>
      </c>
      <c r="H90" s="7"/>
      <c r="I90" s="148">
        <v>600</v>
      </c>
      <c r="J90" s="1">
        <v>3192507</v>
      </c>
      <c r="K90" s="1"/>
      <c r="L90" s="131"/>
      <c r="M90" s="131"/>
      <c r="N90" s="131">
        <v>4026345</v>
      </c>
      <c r="O90" s="175"/>
      <c r="P90" s="169"/>
    </row>
    <row r="91" spans="1:16" s="46" customFormat="1" ht="15.75" hidden="1">
      <c r="A91" s="43"/>
      <c r="B91" s="145"/>
      <c r="C91" s="145"/>
      <c r="D91" s="145"/>
      <c r="E91" s="145"/>
      <c r="F91" s="146"/>
      <c r="G91" s="212" t="s">
        <v>659</v>
      </c>
      <c r="H91" s="147" t="s">
        <v>658</v>
      </c>
      <c r="I91" s="148"/>
      <c r="J91" s="149">
        <f>J92+J94</f>
        <v>0</v>
      </c>
      <c r="K91" s="1"/>
      <c r="L91" s="131"/>
      <c r="M91" s="131"/>
      <c r="N91" s="131"/>
      <c r="O91" s="175"/>
      <c r="P91" s="169"/>
    </row>
    <row r="92" spans="1:16" s="46" customFormat="1" ht="63" hidden="1">
      <c r="A92" s="43"/>
      <c r="B92" s="145"/>
      <c r="C92" s="145"/>
      <c r="D92" s="145"/>
      <c r="E92" s="145"/>
      <c r="F92" s="146"/>
      <c r="G92" s="214" t="s">
        <v>660</v>
      </c>
      <c r="H92" s="7" t="s">
        <v>655</v>
      </c>
      <c r="I92" s="150"/>
      <c r="J92" s="1">
        <f>J93</f>
        <v>0</v>
      </c>
      <c r="K92" s="1"/>
      <c r="L92" s="131"/>
      <c r="M92" s="131"/>
      <c r="N92" s="131"/>
      <c r="O92" s="175"/>
      <c r="P92" s="169"/>
    </row>
    <row r="93" spans="1:16" s="46" customFormat="1" ht="31.5" hidden="1">
      <c r="A93" s="43"/>
      <c r="B93" s="145"/>
      <c r="C93" s="145"/>
      <c r="D93" s="145"/>
      <c r="E93" s="145"/>
      <c r="F93" s="146"/>
      <c r="G93" s="214" t="s">
        <v>4</v>
      </c>
      <c r="H93" s="7" t="s">
        <v>0</v>
      </c>
      <c r="I93" s="150">
        <v>600</v>
      </c>
      <c r="J93" s="1">
        <v>0</v>
      </c>
      <c r="K93" s="1"/>
      <c r="L93" s="131"/>
      <c r="M93" s="131"/>
      <c r="N93" s="131"/>
      <c r="O93" s="175"/>
      <c r="P93" s="169"/>
    </row>
    <row r="94" spans="1:16" s="46" customFormat="1" ht="63" hidden="1">
      <c r="A94" s="43"/>
      <c r="B94" s="145"/>
      <c r="C94" s="145"/>
      <c r="D94" s="145"/>
      <c r="E94" s="145"/>
      <c r="F94" s="146"/>
      <c r="G94" s="214" t="s">
        <v>661</v>
      </c>
      <c r="H94" s="7" t="s">
        <v>654</v>
      </c>
      <c r="I94" s="150"/>
      <c r="J94" s="1">
        <f>J95</f>
        <v>0</v>
      </c>
      <c r="K94" s="1"/>
      <c r="L94" s="131"/>
      <c r="M94" s="131"/>
      <c r="N94" s="131"/>
      <c r="O94" s="175"/>
      <c r="P94" s="169"/>
    </row>
    <row r="95" spans="1:16" s="46" customFormat="1" ht="37.5" customHeight="1" hidden="1">
      <c r="A95" s="43"/>
      <c r="B95" s="250">
        <v>500</v>
      </c>
      <c r="C95" s="250"/>
      <c r="D95" s="250"/>
      <c r="E95" s="250"/>
      <c r="F95" s="251"/>
      <c r="G95" s="214" t="s">
        <v>4</v>
      </c>
      <c r="H95" s="7" t="s">
        <v>0</v>
      </c>
      <c r="I95" s="150">
        <v>600</v>
      </c>
      <c r="J95" s="151">
        <v>0</v>
      </c>
      <c r="K95" s="1"/>
      <c r="L95" s="131">
        <f>K95+J86</f>
        <v>5135737</v>
      </c>
      <c r="M95" s="131"/>
      <c r="N95" s="131"/>
      <c r="O95" s="175"/>
      <c r="P95" s="169"/>
    </row>
    <row r="96" spans="1:16" ht="50.25" customHeight="1" hidden="1">
      <c r="A96" s="8"/>
      <c r="B96" s="24"/>
      <c r="C96" s="24"/>
      <c r="D96" s="24"/>
      <c r="E96" s="24"/>
      <c r="F96" s="25"/>
      <c r="G96" s="214" t="s">
        <v>253</v>
      </c>
      <c r="H96" s="121" t="s">
        <v>265</v>
      </c>
      <c r="I96" s="148"/>
      <c r="J96" s="1">
        <f>J97</f>
        <v>1948317</v>
      </c>
      <c r="K96" s="1"/>
      <c r="L96" s="131"/>
      <c r="M96" s="131"/>
      <c r="N96" s="131"/>
      <c r="O96" s="175"/>
      <c r="P96" s="169"/>
    </row>
    <row r="97" spans="1:16" ht="34.5" customHeight="1" hidden="1">
      <c r="A97" s="8"/>
      <c r="B97" s="24"/>
      <c r="C97" s="24"/>
      <c r="D97" s="24"/>
      <c r="E97" s="24"/>
      <c r="F97" s="25"/>
      <c r="G97" s="214" t="s">
        <v>4</v>
      </c>
      <c r="H97" s="7"/>
      <c r="I97" s="148">
        <v>600</v>
      </c>
      <c r="J97" s="1">
        <v>1948317</v>
      </c>
      <c r="K97" s="1"/>
      <c r="L97" s="131"/>
      <c r="M97" s="131"/>
      <c r="N97" s="131"/>
      <c r="O97" s="175"/>
      <c r="P97" s="169"/>
    </row>
    <row r="98" spans="1:16" ht="31.5" hidden="1">
      <c r="A98" s="8"/>
      <c r="B98" s="252" t="s">
        <v>76</v>
      </c>
      <c r="C98" s="252"/>
      <c r="D98" s="252"/>
      <c r="E98" s="252"/>
      <c r="F98" s="253"/>
      <c r="G98" s="214" t="s">
        <v>129</v>
      </c>
      <c r="H98" s="7" t="s">
        <v>75</v>
      </c>
      <c r="I98" s="148" t="s">
        <v>0</v>
      </c>
      <c r="J98" s="1">
        <f>J99</f>
        <v>7304000</v>
      </c>
      <c r="K98" s="1"/>
      <c r="L98" s="131"/>
      <c r="M98" s="131"/>
      <c r="N98" s="131"/>
      <c r="O98" s="175"/>
      <c r="P98" s="169"/>
    </row>
    <row r="99" spans="1:16" ht="30" customHeight="1" hidden="1">
      <c r="A99" s="8"/>
      <c r="B99" s="260">
        <v>500</v>
      </c>
      <c r="C99" s="260"/>
      <c r="D99" s="260"/>
      <c r="E99" s="260"/>
      <c r="F99" s="261"/>
      <c r="G99" s="214" t="s">
        <v>4</v>
      </c>
      <c r="H99" s="7" t="s">
        <v>0</v>
      </c>
      <c r="I99" s="148">
        <v>600</v>
      </c>
      <c r="J99" s="1">
        <v>7304000</v>
      </c>
      <c r="K99" s="1"/>
      <c r="L99" s="131"/>
      <c r="M99" s="131"/>
      <c r="N99" s="131"/>
      <c r="O99" s="175"/>
      <c r="P99" s="169"/>
    </row>
    <row r="100" spans="1:16" ht="1.5" customHeight="1" hidden="1">
      <c r="A100" s="8"/>
      <c r="B100" s="24"/>
      <c r="C100" s="24"/>
      <c r="D100" s="24"/>
      <c r="E100" s="24"/>
      <c r="F100" s="25"/>
      <c r="G100" s="218"/>
      <c r="H100" s="188"/>
      <c r="I100" s="189"/>
      <c r="J100" s="5"/>
      <c r="K100" s="5"/>
      <c r="L100" s="131"/>
      <c r="M100" s="131"/>
      <c r="N100" s="131"/>
      <c r="O100" s="175"/>
      <c r="P100" s="169"/>
    </row>
    <row r="101" spans="1:16" ht="48" customHeight="1" hidden="1">
      <c r="A101" s="8"/>
      <c r="B101" s="24"/>
      <c r="C101" s="24"/>
      <c r="D101" s="24"/>
      <c r="E101" s="24"/>
      <c r="F101" s="25"/>
      <c r="G101" s="214"/>
      <c r="H101" s="187"/>
      <c r="I101" s="148"/>
      <c r="J101" s="1"/>
      <c r="K101" s="1"/>
      <c r="L101" s="131"/>
      <c r="M101" s="131"/>
      <c r="N101" s="131"/>
      <c r="O101" s="175"/>
      <c r="P101" s="169"/>
    </row>
    <row r="102" spans="1:16" ht="52.5" customHeight="1" hidden="1">
      <c r="A102" s="8"/>
      <c r="B102" s="24"/>
      <c r="C102" s="24"/>
      <c r="D102" s="24"/>
      <c r="E102" s="24"/>
      <c r="F102" s="25"/>
      <c r="G102" s="214"/>
      <c r="H102" s="187"/>
      <c r="I102" s="148"/>
      <c r="J102" s="1"/>
      <c r="K102" s="1"/>
      <c r="L102" s="131"/>
      <c r="M102" s="131"/>
      <c r="N102" s="131"/>
      <c r="O102" s="175"/>
      <c r="P102" s="169"/>
    </row>
    <row r="103" spans="1:16" ht="52.5" customHeight="1" hidden="1">
      <c r="A103" s="8"/>
      <c r="B103" s="24"/>
      <c r="C103" s="24"/>
      <c r="D103" s="24"/>
      <c r="E103" s="24"/>
      <c r="F103" s="25"/>
      <c r="G103" s="214" t="s">
        <v>285</v>
      </c>
      <c r="H103" s="187" t="s">
        <v>286</v>
      </c>
      <c r="I103" s="148"/>
      <c r="J103" s="1">
        <f>J104</f>
        <v>101432</v>
      </c>
      <c r="K103" s="1"/>
      <c r="L103" s="131"/>
      <c r="M103" s="131"/>
      <c r="N103" s="131"/>
      <c r="O103" s="175"/>
      <c r="P103" s="169"/>
    </row>
    <row r="104" spans="1:16" ht="36.75" customHeight="1" hidden="1">
      <c r="A104" s="8"/>
      <c r="B104" s="24"/>
      <c r="C104" s="24"/>
      <c r="D104" s="24"/>
      <c r="E104" s="24"/>
      <c r="F104" s="25"/>
      <c r="G104" s="214" t="s">
        <v>4</v>
      </c>
      <c r="H104" s="187"/>
      <c r="I104" s="148">
        <v>600</v>
      </c>
      <c r="J104" s="1">
        <v>101432</v>
      </c>
      <c r="K104" s="1"/>
      <c r="L104" s="131"/>
      <c r="M104" s="131"/>
      <c r="N104" s="131"/>
      <c r="O104" s="175"/>
      <c r="P104" s="169"/>
    </row>
    <row r="105" spans="1:16" ht="48" customHeight="1" hidden="1">
      <c r="A105" s="8"/>
      <c r="B105" s="24"/>
      <c r="C105" s="24"/>
      <c r="D105" s="24"/>
      <c r="E105" s="24"/>
      <c r="F105" s="25"/>
      <c r="G105" s="218" t="s">
        <v>249</v>
      </c>
      <c r="H105" s="187" t="s">
        <v>304</v>
      </c>
      <c r="I105" s="189"/>
      <c r="J105" s="5">
        <f>J106</f>
        <v>0</v>
      </c>
      <c r="K105" s="5"/>
      <c r="L105" s="131"/>
      <c r="M105" s="131"/>
      <c r="N105" s="131"/>
      <c r="O105" s="175"/>
      <c r="P105" s="169"/>
    </row>
    <row r="106" spans="1:16" ht="48.75" customHeight="1" hidden="1">
      <c r="A106" s="8"/>
      <c r="B106" s="24"/>
      <c r="C106" s="24"/>
      <c r="D106" s="24"/>
      <c r="E106" s="24"/>
      <c r="F106" s="25"/>
      <c r="G106" s="214" t="s">
        <v>250</v>
      </c>
      <c r="H106" s="187" t="s">
        <v>305</v>
      </c>
      <c r="I106" s="148"/>
      <c r="J106" s="1">
        <f>J107</f>
        <v>0</v>
      </c>
      <c r="K106" s="1"/>
      <c r="L106" s="131"/>
      <c r="M106" s="131"/>
      <c r="N106" s="131"/>
      <c r="O106" s="175"/>
      <c r="P106" s="169"/>
    </row>
    <row r="107" spans="1:16" ht="18" customHeight="1" hidden="1">
      <c r="A107" s="8"/>
      <c r="B107" s="24"/>
      <c r="C107" s="24"/>
      <c r="D107" s="24"/>
      <c r="E107" s="24"/>
      <c r="F107" s="25"/>
      <c r="G107" s="214" t="s">
        <v>1</v>
      </c>
      <c r="H107" s="187"/>
      <c r="I107" s="148">
        <v>800</v>
      </c>
      <c r="J107" s="1">
        <v>0</v>
      </c>
      <c r="K107" s="1"/>
      <c r="L107" s="131"/>
      <c r="M107" s="131"/>
      <c r="N107" s="131"/>
      <c r="O107" s="175"/>
      <c r="P107" s="169"/>
    </row>
    <row r="108" spans="1:16" ht="33.75" customHeight="1">
      <c r="A108" s="8"/>
      <c r="B108" s="24"/>
      <c r="C108" s="24"/>
      <c r="D108" s="24"/>
      <c r="E108" s="24"/>
      <c r="F108" s="25"/>
      <c r="G108" s="212" t="s">
        <v>739</v>
      </c>
      <c r="H108" s="147" t="s">
        <v>737</v>
      </c>
      <c r="I108" s="148"/>
      <c r="J108" s="1">
        <f>J109+J111</f>
        <v>2739210</v>
      </c>
      <c r="K108" s="1"/>
      <c r="L108" s="131"/>
      <c r="M108" s="131">
        <f>M109+M111</f>
        <v>0</v>
      </c>
      <c r="N108" s="132">
        <f>N111+N113</f>
        <v>0</v>
      </c>
      <c r="O108" s="179"/>
      <c r="P108" s="170"/>
    </row>
    <row r="109" spans="1:16" ht="59.25" customHeight="1" hidden="1">
      <c r="A109" s="8"/>
      <c r="B109" s="24"/>
      <c r="C109" s="24"/>
      <c r="D109" s="24"/>
      <c r="E109" s="24"/>
      <c r="F109" s="25"/>
      <c r="G109" s="228" t="s">
        <v>697</v>
      </c>
      <c r="H109" s="7" t="s">
        <v>696</v>
      </c>
      <c r="I109" s="148"/>
      <c r="J109" s="1">
        <f>J110</f>
        <v>1000000</v>
      </c>
      <c r="K109" s="1"/>
      <c r="L109" s="131"/>
      <c r="M109" s="131">
        <f>M110</f>
        <v>0</v>
      </c>
      <c r="N109" s="131">
        <f>N110</f>
        <v>0</v>
      </c>
      <c r="O109" s="175"/>
      <c r="P109" s="169"/>
    </row>
    <row r="110" spans="1:16" ht="42" customHeight="1" hidden="1">
      <c r="A110" s="8"/>
      <c r="B110" s="24"/>
      <c r="C110" s="24"/>
      <c r="D110" s="24"/>
      <c r="E110" s="24"/>
      <c r="F110" s="25"/>
      <c r="G110" s="214" t="s">
        <v>4</v>
      </c>
      <c r="H110" s="147"/>
      <c r="I110" s="148">
        <v>600</v>
      </c>
      <c r="J110" s="1">
        <v>1000000</v>
      </c>
      <c r="K110" s="1"/>
      <c r="L110" s="131"/>
      <c r="M110" s="131"/>
      <c r="N110" s="131"/>
      <c r="O110" s="175"/>
      <c r="P110" s="169"/>
    </row>
    <row r="111" spans="1:16" ht="34.5" customHeight="1">
      <c r="A111" s="8"/>
      <c r="B111" s="24"/>
      <c r="C111" s="24"/>
      <c r="D111" s="24"/>
      <c r="E111" s="24"/>
      <c r="F111" s="25"/>
      <c r="G111" s="228" t="s">
        <v>747</v>
      </c>
      <c r="H111" s="7" t="s">
        <v>738</v>
      </c>
      <c r="I111" s="148"/>
      <c r="J111" s="1">
        <f>J112</f>
        <v>1739210</v>
      </c>
      <c r="K111" s="1"/>
      <c r="L111" s="131"/>
      <c r="M111" s="131">
        <f>M112</f>
        <v>0</v>
      </c>
      <c r="N111" s="131">
        <f>N112</f>
        <v>0</v>
      </c>
      <c r="O111" s="150"/>
      <c r="P111" s="169"/>
    </row>
    <row r="112" spans="1:16" ht="35.25" customHeight="1">
      <c r="A112" s="8"/>
      <c r="B112" s="24"/>
      <c r="C112" s="24"/>
      <c r="D112" s="24"/>
      <c r="E112" s="24"/>
      <c r="F112" s="25"/>
      <c r="G112" s="214" t="s">
        <v>4</v>
      </c>
      <c r="H112" s="147"/>
      <c r="I112" s="148">
        <v>600</v>
      </c>
      <c r="J112" s="1">
        <v>1739210</v>
      </c>
      <c r="K112" s="1"/>
      <c r="L112" s="131"/>
      <c r="M112" s="131">
        <v>0</v>
      </c>
      <c r="N112" s="131"/>
      <c r="O112" s="150"/>
      <c r="P112" s="169"/>
    </row>
    <row r="113" spans="1:16" ht="49.5" customHeight="1">
      <c r="A113" s="8"/>
      <c r="B113" s="24"/>
      <c r="C113" s="24"/>
      <c r="D113" s="24"/>
      <c r="E113" s="24"/>
      <c r="F113" s="25"/>
      <c r="G113" s="214" t="s">
        <v>748</v>
      </c>
      <c r="H113" s="7" t="s">
        <v>744</v>
      </c>
      <c r="I113" s="148"/>
      <c r="J113" s="1"/>
      <c r="K113" s="1"/>
      <c r="L113" s="131"/>
      <c r="M113" s="131"/>
      <c r="N113" s="131">
        <f>N114</f>
        <v>0</v>
      </c>
      <c r="O113" s="150"/>
      <c r="P113" s="169"/>
    </row>
    <row r="114" spans="1:16" ht="35.25" customHeight="1">
      <c r="A114" s="8"/>
      <c r="B114" s="24"/>
      <c r="C114" s="24"/>
      <c r="D114" s="24"/>
      <c r="E114" s="24"/>
      <c r="F114" s="25"/>
      <c r="G114" s="214" t="s">
        <v>4</v>
      </c>
      <c r="H114" s="147"/>
      <c r="I114" s="148">
        <v>600</v>
      </c>
      <c r="J114" s="1"/>
      <c r="K114" s="1"/>
      <c r="L114" s="131"/>
      <c r="M114" s="131"/>
      <c r="N114" s="131"/>
      <c r="O114" s="150"/>
      <c r="P114" s="169"/>
    </row>
    <row r="115" spans="1:16" ht="42" customHeight="1">
      <c r="A115" s="8"/>
      <c r="B115" s="24"/>
      <c r="C115" s="24"/>
      <c r="D115" s="24"/>
      <c r="E115" s="24"/>
      <c r="F115" s="25"/>
      <c r="G115" s="214" t="s">
        <v>750</v>
      </c>
      <c r="H115" s="147" t="s">
        <v>746</v>
      </c>
      <c r="I115" s="148"/>
      <c r="J115" s="1"/>
      <c r="K115" s="1"/>
      <c r="L115" s="131"/>
      <c r="M115" s="131"/>
      <c r="N115" s="131">
        <f>N116</f>
        <v>1000000</v>
      </c>
      <c r="O115" s="150"/>
      <c r="P115" s="169"/>
    </row>
    <row r="116" spans="1:16" ht="52.5" customHeight="1">
      <c r="A116" s="8"/>
      <c r="B116" s="24"/>
      <c r="C116" s="24"/>
      <c r="D116" s="24"/>
      <c r="E116" s="24"/>
      <c r="F116" s="25"/>
      <c r="G116" s="214" t="s">
        <v>749</v>
      </c>
      <c r="H116" s="7" t="s">
        <v>745</v>
      </c>
      <c r="I116" s="148"/>
      <c r="J116" s="1"/>
      <c r="K116" s="1"/>
      <c r="L116" s="131"/>
      <c r="M116" s="131"/>
      <c r="N116" s="131">
        <f>N117</f>
        <v>1000000</v>
      </c>
      <c r="O116" s="150"/>
      <c r="P116" s="169"/>
    </row>
    <row r="117" spans="1:16" ht="35.25" customHeight="1">
      <c r="A117" s="8"/>
      <c r="B117" s="24"/>
      <c r="C117" s="24"/>
      <c r="D117" s="24"/>
      <c r="E117" s="24"/>
      <c r="F117" s="25"/>
      <c r="G117" s="214" t="s">
        <v>4</v>
      </c>
      <c r="H117" s="147"/>
      <c r="I117" s="148">
        <v>600</v>
      </c>
      <c r="J117" s="1"/>
      <c r="K117" s="1"/>
      <c r="L117" s="131"/>
      <c r="M117" s="131"/>
      <c r="N117" s="131">
        <v>1000000</v>
      </c>
      <c r="O117" s="150"/>
      <c r="P117" s="169"/>
    </row>
    <row r="118" spans="1:16" ht="24" customHeight="1">
      <c r="A118" s="8"/>
      <c r="B118" s="24"/>
      <c r="C118" s="24"/>
      <c r="D118" s="24"/>
      <c r="E118" s="24"/>
      <c r="F118" s="25"/>
      <c r="G118" s="212" t="s">
        <v>659</v>
      </c>
      <c r="H118" s="147" t="s">
        <v>762</v>
      </c>
      <c r="I118" s="148"/>
      <c r="J118" s="1"/>
      <c r="K118" s="1"/>
      <c r="L118" s="131"/>
      <c r="M118" s="131"/>
      <c r="N118" s="131">
        <f>N119+N121</f>
        <v>2161194</v>
      </c>
      <c r="O118" s="150"/>
      <c r="P118" s="169"/>
    </row>
    <row r="119" spans="1:16" ht="54.75" customHeight="1">
      <c r="A119" s="8"/>
      <c r="B119" s="24"/>
      <c r="C119" s="24"/>
      <c r="D119" s="24"/>
      <c r="E119" s="24"/>
      <c r="F119" s="25"/>
      <c r="G119" s="228" t="s">
        <v>697</v>
      </c>
      <c r="H119" s="7" t="s">
        <v>696</v>
      </c>
      <c r="I119" s="148"/>
      <c r="J119" s="1"/>
      <c r="K119" s="1"/>
      <c r="L119" s="131"/>
      <c r="M119" s="131"/>
      <c r="N119" s="131">
        <f>N120</f>
        <v>1000000</v>
      </c>
      <c r="O119" s="150"/>
      <c r="P119" s="169"/>
    </row>
    <row r="120" spans="1:16" ht="35.25" customHeight="1">
      <c r="A120" s="8"/>
      <c r="B120" s="24"/>
      <c r="C120" s="24"/>
      <c r="D120" s="24"/>
      <c r="E120" s="24"/>
      <c r="F120" s="25"/>
      <c r="G120" s="214" t="s">
        <v>4</v>
      </c>
      <c r="H120" s="147"/>
      <c r="I120" s="148">
        <v>600</v>
      </c>
      <c r="J120" s="1"/>
      <c r="K120" s="1"/>
      <c r="L120" s="131"/>
      <c r="M120" s="131"/>
      <c r="N120" s="131">
        <v>1000000</v>
      </c>
      <c r="O120" s="150"/>
      <c r="P120" s="169"/>
    </row>
    <row r="121" spans="1:16" ht="70.5" customHeight="1">
      <c r="A121" s="8"/>
      <c r="B121" s="24"/>
      <c r="C121" s="24"/>
      <c r="D121" s="24"/>
      <c r="E121" s="24"/>
      <c r="F121" s="25"/>
      <c r="G121" s="228" t="s">
        <v>764</v>
      </c>
      <c r="H121" s="7" t="s">
        <v>763</v>
      </c>
      <c r="I121" s="148"/>
      <c r="J121" s="1"/>
      <c r="K121" s="1"/>
      <c r="L121" s="131"/>
      <c r="M121" s="131"/>
      <c r="N121" s="131">
        <f>N122</f>
        <v>1161194</v>
      </c>
      <c r="O121" s="150"/>
      <c r="P121" s="169"/>
    </row>
    <row r="122" spans="1:16" ht="37.5" customHeight="1">
      <c r="A122" s="8"/>
      <c r="B122" s="24"/>
      <c r="C122" s="24"/>
      <c r="D122" s="24"/>
      <c r="E122" s="24"/>
      <c r="F122" s="25"/>
      <c r="G122" s="214" t="s">
        <v>4</v>
      </c>
      <c r="H122" s="147"/>
      <c r="I122" s="148">
        <v>600</v>
      </c>
      <c r="J122" s="1"/>
      <c r="K122" s="1"/>
      <c r="L122" s="131"/>
      <c r="M122" s="131"/>
      <c r="N122" s="131">
        <f>52632+409452+699110</f>
        <v>1161194</v>
      </c>
      <c r="O122" s="150"/>
      <c r="P122" s="169"/>
    </row>
    <row r="123" spans="1:16" ht="53.25" customHeight="1">
      <c r="A123" s="8"/>
      <c r="B123" s="24"/>
      <c r="C123" s="24"/>
      <c r="D123" s="24"/>
      <c r="E123" s="24"/>
      <c r="F123" s="25"/>
      <c r="G123" s="218" t="s">
        <v>802</v>
      </c>
      <c r="H123" s="4" t="s">
        <v>324</v>
      </c>
      <c r="I123" s="148" t="s">
        <v>0</v>
      </c>
      <c r="J123" s="5">
        <f>J124+J215+J228+J242</f>
        <v>166963139</v>
      </c>
      <c r="K123" s="5">
        <f>K124+K215+K228</f>
        <v>480829</v>
      </c>
      <c r="L123" s="133">
        <f>L124+L215+L228</f>
        <v>158760580</v>
      </c>
      <c r="M123" s="133">
        <f>M124+M215+M228+M242</f>
        <v>0</v>
      </c>
      <c r="N123" s="133">
        <f>N124+N215+N228+N242+N246</f>
        <v>105927458.2</v>
      </c>
      <c r="O123" s="175"/>
      <c r="P123" s="167"/>
    </row>
    <row r="124" spans="1:16" ht="60" customHeight="1">
      <c r="A124" s="8"/>
      <c r="B124" s="24"/>
      <c r="C124" s="24"/>
      <c r="D124" s="24"/>
      <c r="E124" s="24"/>
      <c r="F124" s="25"/>
      <c r="G124" s="218" t="s">
        <v>803</v>
      </c>
      <c r="H124" s="4" t="s">
        <v>325</v>
      </c>
      <c r="I124" s="148"/>
      <c r="J124" s="5">
        <f>J125+J199+J207+J190+J212</f>
        <v>166780139</v>
      </c>
      <c r="K124" s="5">
        <f>K125+K199+K207+K190+K212</f>
        <v>480829</v>
      </c>
      <c r="L124" s="133">
        <f>L125+L199+L207+L190+L212</f>
        <v>158587580</v>
      </c>
      <c r="M124" s="133">
        <f>M125+M199+M207+M190+M212</f>
        <v>0</v>
      </c>
      <c r="N124" s="5">
        <f>N125+N190+N199+N207</f>
        <v>105624458.2</v>
      </c>
      <c r="O124" s="175"/>
      <c r="P124" s="130"/>
    </row>
    <row r="125" spans="1:16" ht="56.25" customHeight="1">
      <c r="A125" s="8"/>
      <c r="B125" s="24"/>
      <c r="C125" s="24"/>
      <c r="D125" s="24"/>
      <c r="E125" s="24"/>
      <c r="F125" s="25"/>
      <c r="G125" s="212" t="s">
        <v>382</v>
      </c>
      <c r="H125" s="147" t="s">
        <v>326</v>
      </c>
      <c r="I125" s="148"/>
      <c r="J125" s="1">
        <f>J128+J132+J135+J138+J141+J144+J152+J154+J156+J159+J165+J168+J175+J147+J178+J180+J182+J163+J149+J186+J184</f>
        <v>77203799</v>
      </c>
      <c r="K125" s="1">
        <f>K128+K132+K135+K138+K141+K144+K152+K154+K156+K159+K165+K168+K175+K147+K178+K180+K182+K163+K149+K186</f>
        <v>480829</v>
      </c>
      <c r="L125" s="131">
        <f>L128+L132+L135+L138+L141+L144+L152+L154+L156+L159+L165+L168+L175+L147+L178+L180+L182+L163+L149+L186</f>
        <v>77497390</v>
      </c>
      <c r="M125" s="131">
        <f>M128+M132+M135+M138+M141+M144+M152+M154+M156+M159+M165+M168+M175+M147+M178+M180+M182+M163+M149+M186+M184</f>
        <v>0</v>
      </c>
      <c r="N125" s="131">
        <f>N128+N132+N135+N138+N141+N144+N152+N154+N156+N159+N165+N168+N175+N147+N178+N180+N182+N163+N149+N186+N184+N188</f>
        <v>26534546.2</v>
      </c>
      <c r="O125" s="150"/>
      <c r="P125" s="169"/>
    </row>
    <row r="126" spans="1:16" s="48" customFormat="1" ht="63" hidden="1">
      <c r="A126" s="47"/>
      <c r="B126" s="256" t="s">
        <v>74</v>
      </c>
      <c r="C126" s="256"/>
      <c r="D126" s="256"/>
      <c r="E126" s="256"/>
      <c r="F126" s="257"/>
      <c r="G126" s="214" t="s">
        <v>244</v>
      </c>
      <c r="H126" s="121" t="s">
        <v>247</v>
      </c>
      <c r="I126" s="148"/>
      <c r="J126" s="1">
        <f>J127</f>
        <v>0</v>
      </c>
      <c r="K126" s="1"/>
      <c r="L126" s="131"/>
      <c r="M126" s="131"/>
      <c r="N126" s="131"/>
      <c r="O126" s="175"/>
      <c r="P126" s="169"/>
    </row>
    <row r="127" spans="1:16" ht="21" customHeight="1" hidden="1">
      <c r="A127" s="8"/>
      <c r="B127" s="16"/>
      <c r="C127" s="16"/>
      <c r="D127" s="16"/>
      <c r="E127" s="16"/>
      <c r="F127" s="17"/>
      <c r="G127" s="214" t="s">
        <v>5</v>
      </c>
      <c r="H127" s="7"/>
      <c r="I127" s="148">
        <v>300</v>
      </c>
      <c r="J127" s="1"/>
      <c r="K127" s="1"/>
      <c r="L127" s="131"/>
      <c r="M127" s="131"/>
      <c r="N127" s="131"/>
      <c r="O127" s="175"/>
      <c r="P127" s="169"/>
    </row>
    <row r="128" spans="1:16" s="70" customFormat="1" ht="75" customHeight="1" hidden="1">
      <c r="A128" s="67"/>
      <c r="B128" s="71"/>
      <c r="C128" s="71"/>
      <c r="D128" s="71"/>
      <c r="E128" s="71"/>
      <c r="F128" s="72"/>
      <c r="G128" s="214" t="s">
        <v>553</v>
      </c>
      <c r="H128" s="7" t="s">
        <v>327</v>
      </c>
      <c r="I128" s="148"/>
      <c r="J128" s="1">
        <f>J130+J131</f>
        <v>62596</v>
      </c>
      <c r="K128" s="1">
        <f>K129+K131</f>
        <v>-10340</v>
      </c>
      <c r="L128" s="131">
        <f>L129+L131</f>
        <v>52256</v>
      </c>
      <c r="M128" s="131">
        <f>M130+M131</f>
        <v>0</v>
      </c>
      <c r="N128" s="131">
        <f>N130+N131</f>
        <v>0</v>
      </c>
      <c r="O128" s="175"/>
      <c r="P128" s="169"/>
    </row>
    <row r="129" spans="1:16" s="70" customFormat="1" ht="35.25" customHeight="1" hidden="1">
      <c r="A129" s="67"/>
      <c r="B129" s="71"/>
      <c r="C129" s="71"/>
      <c r="D129" s="71"/>
      <c r="E129" s="71"/>
      <c r="F129" s="72"/>
      <c r="G129" s="214" t="s">
        <v>232</v>
      </c>
      <c r="H129" s="7"/>
      <c r="I129" s="148">
        <v>200</v>
      </c>
      <c r="J129" s="1">
        <v>0</v>
      </c>
      <c r="K129" s="1"/>
      <c r="L129" s="131"/>
      <c r="M129" s="131"/>
      <c r="N129" s="131"/>
      <c r="O129" s="175"/>
      <c r="P129" s="169"/>
    </row>
    <row r="130" spans="1:16" s="70" customFormat="1" ht="35.25" customHeight="1" hidden="1">
      <c r="A130" s="67"/>
      <c r="B130" s="71"/>
      <c r="C130" s="71"/>
      <c r="D130" s="71"/>
      <c r="E130" s="71"/>
      <c r="F130" s="72"/>
      <c r="G130" s="222" t="s">
        <v>2</v>
      </c>
      <c r="H130" s="7"/>
      <c r="I130" s="148">
        <v>200</v>
      </c>
      <c r="J130" s="1">
        <v>0</v>
      </c>
      <c r="K130" s="1"/>
      <c r="L130" s="131"/>
      <c r="M130" s="131"/>
      <c r="N130" s="131"/>
      <c r="O130" s="175"/>
      <c r="P130" s="169"/>
    </row>
    <row r="131" spans="1:16" s="70" customFormat="1" ht="19.5" customHeight="1" hidden="1">
      <c r="A131" s="67"/>
      <c r="B131" s="71"/>
      <c r="C131" s="71"/>
      <c r="D131" s="71"/>
      <c r="E131" s="71"/>
      <c r="F131" s="72"/>
      <c r="G131" s="214" t="s">
        <v>5</v>
      </c>
      <c r="H131" s="7"/>
      <c r="I131" s="148">
        <v>300</v>
      </c>
      <c r="J131" s="1">
        <v>62596</v>
      </c>
      <c r="K131" s="1">
        <v>-10340</v>
      </c>
      <c r="L131" s="131">
        <f>K131+J131</f>
        <v>52256</v>
      </c>
      <c r="M131" s="131"/>
      <c r="N131" s="131"/>
      <c r="O131" s="175"/>
      <c r="P131" s="169"/>
    </row>
    <row r="132" spans="1:16" s="70" customFormat="1" ht="69" customHeight="1">
      <c r="A132" s="67"/>
      <c r="B132" s="71"/>
      <c r="C132" s="71"/>
      <c r="D132" s="71"/>
      <c r="E132" s="71"/>
      <c r="F132" s="72"/>
      <c r="G132" s="222" t="s">
        <v>554</v>
      </c>
      <c r="H132" s="7" t="s">
        <v>328</v>
      </c>
      <c r="I132" s="148" t="s">
        <v>0</v>
      </c>
      <c r="J132" s="1">
        <f>J134+J133</f>
        <v>1301001</v>
      </c>
      <c r="K132" s="1">
        <f>K134+K133</f>
        <v>0</v>
      </c>
      <c r="L132" s="131">
        <f>L134+L133</f>
        <v>1301001</v>
      </c>
      <c r="M132" s="131">
        <f>M134+M133</f>
        <v>0</v>
      </c>
      <c r="N132" s="131">
        <f>N134+N133</f>
        <v>1376861.2</v>
      </c>
      <c r="O132" s="175"/>
      <c r="P132" s="169"/>
    </row>
    <row r="133" spans="1:16" s="70" customFormat="1" ht="32.25" customHeight="1">
      <c r="A133" s="67"/>
      <c r="B133" s="71"/>
      <c r="C133" s="71"/>
      <c r="D133" s="71"/>
      <c r="E133" s="71"/>
      <c r="F133" s="72"/>
      <c r="G133" s="222" t="s">
        <v>2</v>
      </c>
      <c r="H133" s="7"/>
      <c r="I133" s="148">
        <v>200</v>
      </c>
      <c r="J133" s="1">
        <v>16696</v>
      </c>
      <c r="K133" s="1">
        <v>0</v>
      </c>
      <c r="L133" s="131">
        <f>K133+J133</f>
        <v>16696</v>
      </c>
      <c r="M133" s="131">
        <v>0</v>
      </c>
      <c r="N133" s="131">
        <f>55204-34813-2934</f>
        <v>17457</v>
      </c>
      <c r="O133" s="175"/>
      <c r="P133" s="169"/>
    </row>
    <row r="134" spans="1:16" s="70" customFormat="1" ht="25.5" customHeight="1">
      <c r="A134" s="67"/>
      <c r="B134" s="258" t="s">
        <v>73</v>
      </c>
      <c r="C134" s="258"/>
      <c r="D134" s="258"/>
      <c r="E134" s="258"/>
      <c r="F134" s="259"/>
      <c r="G134" s="214" t="s">
        <v>5</v>
      </c>
      <c r="H134" s="7" t="s">
        <v>0</v>
      </c>
      <c r="I134" s="148">
        <v>300</v>
      </c>
      <c r="J134" s="1">
        <v>1284305</v>
      </c>
      <c r="K134" s="1"/>
      <c r="L134" s="131">
        <f>K134+J134</f>
        <v>1284305</v>
      </c>
      <c r="M134" s="131"/>
      <c r="N134" s="131">
        <f>3680339-2320934-0.8</f>
        <v>1359404.2</v>
      </c>
      <c r="O134" s="175"/>
      <c r="P134" s="169"/>
    </row>
    <row r="135" spans="1:16" s="70" customFormat="1" ht="37.5" customHeight="1">
      <c r="A135" s="67"/>
      <c r="B135" s="73"/>
      <c r="C135" s="73"/>
      <c r="D135" s="73"/>
      <c r="E135" s="73"/>
      <c r="F135" s="74"/>
      <c r="G135" s="214" t="s">
        <v>130</v>
      </c>
      <c r="H135" s="7" t="s">
        <v>329</v>
      </c>
      <c r="I135" s="148" t="s">
        <v>0</v>
      </c>
      <c r="J135" s="1">
        <f>J137+J136</f>
        <v>7880000</v>
      </c>
      <c r="K135" s="1">
        <f>K137+K136</f>
        <v>0</v>
      </c>
      <c r="L135" s="131">
        <f>L137+L136</f>
        <v>7880000</v>
      </c>
      <c r="M135" s="131">
        <f>M137+M136</f>
        <v>0</v>
      </c>
      <c r="N135" s="131">
        <f>N137+N136</f>
        <v>1500000</v>
      </c>
      <c r="O135" s="150"/>
      <c r="P135" s="169"/>
    </row>
    <row r="136" spans="1:16" s="70" customFormat="1" ht="33" customHeight="1">
      <c r="A136" s="67"/>
      <c r="B136" s="266">
        <v>500</v>
      </c>
      <c r="C136" s="266"/>
      <c r="D136" s="266"/>
      <c r="E136" s="266"/>
      <c r="F136" s="267"/>
      <c r="G136" s="222" t="s">
        <v>2</v>
      </c>
      <c r="H136" s="7"/>
      <c r="I136" s="148">
        <v>200</v>
      </c>
      <c r="J136" s="1">
        <v>115638</v>
      </c>
      <c r="K136" s="1"/>
      <c r="L136" s="131">
        <f>K136+J136</f>
        <v>115638</v>
      </c>
      <c r="M136" s="131"/>
      <c r="N136" s="131">
        <f>100000-76000</f>
        <v>24000</v>
      </c>
      <c r="O136" s="150"/>
      <c r="P136" s="169"/>
    </row>
    <row r="137" spans="1:16" s="70" customFormat="1" ht="25.5" customHeight="1">
      <c r="A137" s="67"/>
      <c r="B137" s="262" t="s">
        <v>72</v>
      </c>
      <c r="C137" s="262"/>
      <c r="D137" s="262"/>
      <c r="E137" s="262"/>
      <c r="F137" s="263"/>
      <c r="G137" s="214" t="s">
        <v>5</v>
      </c>
      <c r="H137" s="7" t="s">
        <v>0</v>
      </c>
      <c r="I137" s="148">
        <v>300</v>
      </c>
      <c r="J137" s="1">
        <v>7764362</v>
      </c>
      <c r="K137" s="1"/>
      <c r="L137" s="131">
        <f>K137+J137</f>
        <v>7764362</v>
      </c>
      <c r="M137" s="131"/>
      <c r="N137" s="131">
        <f>6942809-5466809</f>
        <v>1476000</v>
      </c>
      <c r="O137" s="150"/>
      <c r="P137" s="169"/>
    </row>
    <row r="138" spans="1:16" s="70" customFormat="1" ht="85.5" customHeight="1" hidden="1">
      <c r="A138" s="67"/>
      <c r="B138" s="68"/>
      <c r="C138" s="68"/>
      <c r="D138" s="68"/>
      <c r="E138" s="68"/>
      <c r="F138" s="69"/>
      <c r="G138" s="214" t="s">
        <v>131</v>
      </c>
      <c r="H138" s="7" t="s">
        <v>330</v>
      </c>
      <c r="I138" s="148" t="s">
        <v>0</v>
      </c>
      <c r="J138" s="1">
        <f>J139+J140</f>
        <v>151334</v>
      </c>
      <c r="K138" s="1">
        <f>K139+K140</f>
        <v>0</v>
      </c>
      <c r="L138" s="131">
        <f>L139+L140</f>
        <v>151334</v>
      </c>
      <c r="M138" s="131">
        <f>M139+M140</f>
        <v>0</v>
      </c>
      <c r="N138" s="131">
        <f>N139+N140</f>
        <v>0</v>
      </c>
      <c r="O138" s="175"/>
      <c r="P138" s="169"/>
    </row>
    <row r="139" spans="1:16" s="70" customFormat="1" ht="28.5" customHeight="1" hidden="1">
      <c r="A139" s="67"/>
      <c r="B139" s="119"/>
      <c r="C139" s="119"/>
      <c r="D139" s="119"/>
      <c r="E139" s="119"/>
      <c r="F139" s="120"/>
      <c r="G139" s="222" t="s">
        <v>2</v>
      </c>
      <c r="H139" s="7"/>
      <c r="I139" s="148">
        <v>200</v>
      </c>
      <c r="J139" s="1">
        <v>0</v>
      </c>
      <c r="K139" s="1"/>
      <c r="L139" s="131">
        <f>K139+J139</f>
        <v>0</v>
      </c>
      <c r="M139" s="131"/>
      <c r="N139" s="131"/>
      <c r="O139" s="175"/>
      <c r="P139" s="169"/>
    </row>
    <row r="140" spans="1:16" s="70" customFormat="1" ht="23.25" customHeight="1" hidden="1">
      <c r="A140" s="67"/>
      <c r="B140" s="266">
        <v>500</v>
      </c>
      <c r="C140" s="266"/>
      <c r="D140" s="266"/>
      <c r="E140" s="266"/>
      <c r="F140" s="267"/>
      <c r="G140" s="214" t="s">
        <v>5</v>
      </c>
      <c r="H140" s="7" t="s">
        <v>0</v>
      </c>
      <c r="I140" s="148">
        <v>300</v>
      </c>
      <c r="J140" s="1">
        <v>151334</v>
      </c>
      <c r="K140" s="1"/>
      <c r="L140" s="131">
        <f>K140+J140</f>
        <v>151334</v>
      </c>
      <c r="M140" s="131"/>
      <c r="N140" s="131"/>
      <c r="O140" s="175"/>
      <c r="P140" s="169"/>
    </row>
    <row r="141" spans="1:16" s="70" customFormat="1" ht="107.25" customHeight="1" hidden="1">
      <c r="A141" s="67"/>
      <c r="B141" s="262" t="s">
        <v>71</v>
      </c>
      <c r="C141" s="262"/>
      <c r="D141" s="262"/>
      <c r="E141" s="262"/>
      <c r="F141" s="263"/>
      <c r="G141" s="214" t="s">
        <v>683</v>
      </c>
      <c r="H141" s="7" t="s">
        <v>682</v>
      </c>
      <c r="I141" s="148" t="s">
        <v>0</v>
      </c>
      <c r="J141" s="1">
        <f>J143+J142</f>
        <v>4255186</v>
      </c>
      <c r="K141" s="1">
        <f>K143+K142</f>
        <v>0</v>
      </c>
      <c r="L141" s="131">
        <f>L143+L142</f>
        <v>4255186</v>
      </c>
      <c r="M141" s="131">
        <f>M143+M142</f>
        <v>0</v>
      </c>
      <c r="N141" s="131">
        <f>N143+N142</f>
        <v>0</v>
      </c>
      <c r="O141" s="175"/>
      <c r="P141" s="169"/>
    </row>
    <row r="142" spans="1:16" s="70" customFormat="1" ht="30" customHeight="1" hidden="1">
      <c r="A142" s="67"/>
      <c r="B142" s="266">
        <v>500</v>
      </c>
      <c r="C142" s="266"/>
      <c r="D142" s="266"/>
      <c r="E142" s="266"/>
      <c r="F142" s="267"/>
      <c r="G142" s="214" t="s">
        <v>2</v>
      </c>
      <c r="H142" s="7"/>
      <c r="I142" s="148">
        <v>200</v>
      </c>
      <c r="J142" s="1">
        <v>63735</v>
      </c>
      <c r="K142" s="1"/>
      <c r="L142" s="131">
        <f>K142+J142</f>
        <v>63735</v>
      </c>
      <c r="M142" s="131"/>
      <c r="N142" s="131"/>
      <c r="O142" s="175"/>
      <c r="P142" s="169"/>
    </row>
    <row r="143" spans="1:16" s="70" customFormat="1" ht="21.75" customHeight="1" hidden="1">
      <c r="A143" s="67"/>
      <c r="B143" s="262" t="s">
        <v>70</v>
      </c>
      <c r="C143" s="262"/>
      <c r="D143" s="262"/>
      <c r="E143" s="262"/>
      <c r="F143" s="263"/>
      <c r="G143" s="214" t="s">
        <v>5</v>
      </c>
      <c r="H143" s="7" t="s">
        <v>0</v>
      </c>
      <c r="I143" s="148">
        <v>300</v>
      </c>
      <c r="J143" s="1">
        <v>4191451</v>
      </c>
      <c r="K143" s="1"/>
      <c r="L143" s="131">
        <f>K143+J143</f>
        <v>4191451</v>
      </c>
      <c r="M143" s="131"/>
      <c r="N143" s="131"/>
      <c r="O143" s="175"/>
      <c r="P143" s="169"/>
    </row>
    <row r="144" spans="1:16" s="70" customFormat="1" ht="39.75" customHeight="1">
      <c r="A144" s="67"/>
      <c r="B144" s="68"/>
      <c r="C144" s="68"/>
      <c r="D144" s="68"/>
      <c r="E144" s="68"/>
      <c r="F144" s="69"/>
      <c r="G144" s="214" t="s">
        <v>689</v>
      </c>
      <c r="H144" s="7" t="s">
        <v>688</v>
      </c>
      <c r="I144" s="148" t="s">
        <v>0</v>
      </c>
      <c r="J144" s="1">
        <f>J146+J145</f>
        <v>23348760</v>
      </c>
      <c r="K144" s="1">
        <f>K146+K145</f>
        <v>0</v>
      </c>
      <c r="L144" s="131">
        <f>L146+L145</f>
        <v>23348760</v>
      </c>
      <c r="M144" s="131">
        <f>M146+M145</f>
        <v>0</v>
      </c>
      <c r="N144" s="131">
        <f>N146+N145</f>
        <v>9147143</v>
      </c>
      <c r="O144" s="150"/>
      <c r="P144" s="169"/>
    </row>
    <row r="145" spans="1:16" s="70" customFormat="1" ht="32.25" customHeight="1" hidden="1">
      <c r="A145" s="67"/>
      <c r="B145" s="266">
        <v>500</v>
      </c>
      <c r="C145" s="266"/>
      <c r="D145" s="266"/>
      <c r="E145" s="266"/>
      <c r="F145" s="267"/>
      <c r="G145" s="214" t="s">
        <v>2</v>
      </c>
      <c r="H145" s="7"/>
      <c r="I145" s="148">
        <v>200</v>
      </c>
      <c r="J145" s="1">
        <v>0</v>
      </c>
      <c r="K145" s="1"/>
      <c r="L145" s="131">
        <f>K145+J145</f>
        <v>0</v>
      </c>
      <c r="M145" s="131"/>
      <c r="N145" s="131"/>
      <c r="O145" s="175"/>
      <c r="P145" s="169"/>
    </row>
    <row r="146" spans="1:16" s="70" customFormat="1" ht="19.5" customHeight="1">
      <c r="A146" s="67"/>
      <c r="B146" s="262" t="s">
        <v>69</v>
      </c>
      <c r="C146" s="262"/>
      <c r="D146" s="262"/>
      <c r="E146" s="262"/>
      <c r="F146" s="263"/>
      <c r="G146" s="214" t="s">
        <v>5</v>
      </c>
      <c r="H146" s="7" t="s">
        <v>0</v>
      </c>
      <c r="I146" s="148">
        <v>300</v>
      </c>
      <c r="J146" s="1">
        <v>23348760</v>
      </c>
      <c r="K146" s="1"/>
      <c r="L146" s="131">
        <f>K146+J146</f>
        <v>23348760</v>
      </c>
      <c r="M146" s="131"/>
      <c r="N146" s="131">
        <f>17026992-5752290-2127559</f>
        <v>9147143</v>
      </c>
      <c r="O146" s="150"/>
      <c r="P146" s="169"/>
    </row>
    <row r="147" spans="1:16" ht="53.25" customHeight="1" hidden="1">
      <c r="A147" s="8"/>
      <c r="B147" s="24"/>
      <c r="C147" s="24"/>
      <c r="D147" s="24"/>
      <c r="E147" s="24"/>
      <c r="F147" s="25"/>
      <c r="G147" s="214" t="s">
        <v>494</v>
      </c>
      <c r="H147" s="7" t="s">
        <v>524</v>
      </c>
      <c r="I147" s="148"/>
      <c r="J147" s="1">
        <f>J148</f>
        <v>0</v>
      </c>
      <c r="K147" s="1"/>
      <c r="L147" s="131"/>
      <c r="M147" s="131"/>
      <c r="N147" s="131"/>
      <c r="O147" s="175"/>
      <c r="P147" s="169"/>
    </row>
    <row r="148" spans="1:16" ht="16.5" customHeight="1" hidden="1">
      <c r="A148" s="8"/>
      <c r="B148" s="24"/>
      <c r="C148" s="24"/>
      <c r="D148" s="24"/>
      <c r="E148" s="24"/>
      <c r="F148" s="25"/>
      <c r="G148" s="214" t="s">
        <v>5</v>
      </c>
      <c r="H148" s="7"/>
      <c r="I148" s="148">
        <v>300</v>
      </c>
      <c r="J148" s="1"/>
      <c r="K148" s="1"/>
      <c r="L148" s="131"/>
      <c r="M148" s="131"/>
      <c r="N148" s="131"/>
      <c r="O148" s="175"/>
      <c r="P148" s="169"/>
    </row>
    <row r="149" spans="1:16" ht="52.5" customHeight="1" hidden="1">
      <c r="A149" s="8"/>
      <c r="B149" s="24"/>
      <c r="C149" s="24"/>
      <c r="D149" s="24"/>
      <c r="E149" s="24"/>
      <c r="F149" s="25"/>
      <c r="G149" s="214" t="s">
        <v>564</v>
      </c>
      <c r="H149" s="7" t="s">
        <v>604</v>
      </c>
      <c r="I149" s="148"/>
      <c r="J149" s="1">
        <f>J150+J151</f>
        <v>0</v>
      </c>
      <c r="K149" s="1">
        <f>K150+K151</f>
        <v>0</v>
      </c>
      <c r="L149" s="131">
        <f>L150+L151</f>
        <v>0</v>
      </c>
      <c r="M149" s="131"/>
      <c r="N149" s="131"/>
      <c r="O149" s="175"/>
      <c r="P149" s="169"/>
    </row>
    <row r="150" spans="1:16" ht="36" customHeight="1" hidden="1">
      <c r="A150" s="8"/>
      <c r="B150" s="24"/>
      <c r="C150" s="24"/>
      <c r="D150" s="24"/>
      <c r="E150" s="24"/>
      <c r="F150" s="25"/>
      <c r="G150" s="214" t="s">
        <v>2</v>
      </c>
      <c r="H150" s="7"/>
      <c r="I150" s="148">
        <v>200</v>
      </c>
      <c r="J150" s="1">
        <v>0</v>
      </c>
      <c r="K150" s="1"/>
      <c r="L150" s="131">
        <f>K150+J150</f>
        <v>0</v>
      </c>
      <c r="M150" s="131"/>
      <c r="N150" s="131"/>
      <c r="O150" s="175"/>
      <c r="P150" s="169"/>
    </row>
    <row r="151" spans="1:16" ht="33.75" customHeight="1" hidden="1">
      <c r="A151" s="8"/>
      <c r="B151" s="24"/>
      <c r="C151" s="24"/>
      <c r="D151" s="24"/>
      <c r="E151" s="24"/>
      <c r="F151" s="25"/>
      <c r="G151" s="214" t="s">
        <v>5</v>
      </c>
      <c r="H151" s="7"/>
      <c r="I151" s="148">
        <v>300</v>
      </c>
      <c r="J151" s="1">
        <v>0</v>
      </c>
      <c r="K151" s="1"/>
      <c r="L151" s="131">
        <f>K151+J151</f>
        <v>0</v>
      </c>
      <c r="M151" s="131"/>
      <c r="N151" s="131"/>
      <c r="O151" s="175"/>
      <c r="P151" s="169"/>
    </row>
    <row r="152" spans="1:16" ht="39.75" customHeight="1">
      <c r="A152" s="8"/>
      <c r="B152" s="24"/>
      <c r="C152" s="24"/>
      <c r="D152" s="24"/>
      <c r="E152" s="24"/>
      <c r="F152" s="25"/>
      <c r="G152" s="214" t="s">
        <v>513</v>
      </c>
      <c r="H152" s="7" t="s">
        <v>331</v>
      </c>
      <c r="I152" s="148"/>
      <c r="J152" s="1">
        <f>J153</f>
        <v>1195000</v>
      </c>
      <c r="K152" s="1">
        <f>K153</f>
        <v>0</v>
      </c>
      <c r="L152" s="131">
        <f>L153</f>
        <v>1195000</v>
      </c>
      <c r="M152" s="131">
        <f>M153</f>
        <v>0</v>
      </c>
      <c r="N152" s="131">
        <f>N153</f>
        <v>2327200</v>
      </c>
      <c r="O152" s="175"/>
      <c r="P152" s="169"/>
    </row>
    <row r="153" spans="1:16" ht="21" customHeight="1">
      <c r="A153" s="8"/>
      <c r="B153" s="260">
        <v>500</v>
      </c>
      <c r="C153" s="260"/>
      <c r="D153" s="260"/>
      <c r="E153" s="260"/>
      <c r="F153" s="261"/>
      <c r="G153" s="214" t="s">
        <v>5</v>
      </c>
      <c r="H153" s="121"/>
      <c r="I153" s="148">
        <v>300</v>
      </c>
      <c r="J153" s="1">
        <v>1195000</v>
      </c>
      <c r="K153" s="1"/>
      <c r="L153" s="131">
        <f>K153+J153</f>
        <v>1195000</v>
      </c>
      <c r="M153" s="131"/>
      <c r="N153" s="131">
        <f>1327200+1000000</f>
        <v>2327200</v>
      </c>
      <c r="O153" s="175"/>
      <c r="P153" s="169"/>
    </row>
    <row r="154" spans="1:16" ht="36" customHeight="1">
      <c r="A154" s="8"/>
      <c r="B154" s="24"/>
      <c r="C154" s="24"/>
      <c r="D154" s="24"/>
      <c r="E154" s="24"/>
      <c r="F154" s="25"/>
      <c r="G154" s="214" t="s">
        <v>97</v>
      </c>
      <c r="H154" s="7" t="s">
        <v>332</v>
      </c>
      <c r="I154" s="148"/>
      <c r="J154" s="1">
        <f>J155</f>
        <v>100000</v>
      </c>
      <c r="K154" s="1">
        <f>K155</f>
        <v>0</v>
      </c>
      <c r="L154" s="131">
        <f>L155</f>
        <v>100000</v>
      </c>
      <c r="M154" s="131">
        <f>M155</f>
        <v>0</v>
      </c>
      <c r="N154" s="131">
        <f>N155</f>
        <v>120000</v>
      </c>
      <c r="O154" s="176"/>
      <c r="P154" s="169"/>
    </row>
    <row r="155" spans="1:16" ht="21" customHeight="1">
      <c r="A155" s="8"/>
      <c r="B155" s="24"/>
      <c r="C155" s="24"/>
      <c r="D155" s="24"/>
      <c r="E155" s="24"/>
      <c r="F155" s="25"/>
      <c r="G155" s="214" t="s">
        <v>5</v>
      </c>
      <c r="H155" s="180"/>
      <c r="I155" s="148">
        <v>300</v>
      </c>
      <c r="J155" s="1">
        <v>100000</v>
      </c>
      <c r="K155" s="1"/>
      <c r="L155" s="131">
        <f>K155+J155</f>
        <v>100000</v>
      </c>
      <c r="M155" s="131"/>
      <c r="N155" s="131">
        <v>120000</v>
      </c>
      <c r="O155" s="176"/>
      <c r="P155" s="169"/>
    </row>
    <row r="156" spans="1:16" s="70" customFormat="1" ht="34.5" customHeight="1">
      <c r="A156" s="67"/>
      <c r="B156" s="68"/>
      <c r="C156" s="68"/>
      <c r="D156" s="68"/>
      <c r="E156" s="68"/>
      <c r="F156" s="69"/>
      <c r="G156" s="214" t="s">
        <v>125</v>
      </c>
      <c r="H156" s="7" t="s">
        <v>333</v>
      </c>
      <c r="I156" s="148" t="s">
        <v>0</v>
      </c>
      <c r="J156" s="1">
        <f>J158+J157</f>
        <v>5754000</v>
      </c>
      <c r="K156" s="1">
        <f>K158+K157</f>
        <v>0</v>
      </c>
      <c r="L156" s="131">
        <f>L158+L157</f>
        <v>5754000</v>
      </c>
      <c r="M156" s="131">
        <f>M158+M157</f>
        <v>0</v>
      </c>
      <c r="N156" s="131">
        <f>N158+N157</f>
        <v>2280000</v>
      </c>
      <c r="O156" s="150"/>
      <c r="P156" s="169"/>
    </row>
    <row r="157" spans="1:16" s="70" customFormat="1" ht="37.5" customHeight="1">
      <c r="A157" s="67"/>
      <c r="B157" s="68"/>
      <c r="C157" s="68"/>
      <c r="D157" s="68"/>
      <c r="E157" s="68"/>
      <c r="F157" s="69"/>
      <c r="G157" s="214" t="s">
        <v>2</v>
      </c>
      <c r="H157" s="7"/>
      <c r="I157" s="148">
        <v>200</v>
      </c>
      <c r="J157" s="1">
        <v>90000</v>
      </c>
      <c r="K157" s="1"/>
      <c r="L157" s="131">
        <f>K157+J157</f>
        <v>90000</v>
      </c>
      <c r="M157" s="131"/>
      <c r="N157" s="131">
        <f>104000-69000</f>
        <v>35000</v>
      </c>
      <c r="O157" s="176"/>
      <c r="P157" s="169"/>
    </row>
    <row r="158" spans="1:16" s="70" customFormat="1" ht="18" customHeight="1">
      <c r="A158" s="67"/>
      <c r="B158" s="262" t="s">
        <v>68</v>
      </c>
      <c r="C158" s="262"/>
      <c r="D158" s="262"/>
      <c r="E158" s="262"/>
      <c r="F158" s="263"/>
      <c r="G158" s="214" t="s">
        <v>5</v>
      </c>
      <c r="H158" s="7" t="s">
        <v>0</v>
      </c>
      <c r="I158" s="148">
        <v>300</v>
      </c>
      <c r="J158" s="1">
        <v>5664000</v>
      </c>
      <c r="K158" s="1"/>
      <c r="L158" s="131">
        <f>K158+J158</f>
        <v>5664000</v>
      </c>
      <c r="M158" s="131"/>
      <c r="N158" s="131">
        <f>7967550-5722550</f>
        <v>2245000</v>
      </c>
      <c r="O158" s="150"/>
      <c r="P158" s="169"/>
    </row>
    <row r="159" spans="1:16" s="70" customFormat="1" ht="50.25" customHeight="1">
      <c r="A159" s="67"/>
      <c r="B159" s="68"/>
      <c r="C159" s="68"/>
      <c r="D159" s="68"/>
      <c r="E159" s="68"/>
      <c r="F159" s="69"/>
      <c r="G159" s="214" t="s">
        <v>132</v>
      </c>
      <c r="H159" s="7" t="s">
        <v>334</v>
      </c>
      <c r="I159" s="148" t="s">
        <v>0</v>
      </c>
      <c r="J159" s="1">
        <f>J161+J160</f>
        <v>7300000</v>
      </c>
      <c r="K159" s="1">
        <f>K161+K160</f>
        <v>0</v>
      </c>
      <c r="L159" s="131">
        <f>L161+L160</f>
        <v>7300000</v>
      </c>
      <c r="M159" s="131">
        <f>M161+M160</f>
        <v>0</v>
      </c>
      <c r="N159" s="131">
        <f>N161+N160</f>
        <v>1802703</v>
      </c>
      <c r="O159" s="150"/>
      <c r="P159" s="169"/>
    </row>
    <row r="160" spans="1:16" s="70" customFormat="1" ht="36" customHeight="1">
      <c r="A160" s="67"/>
      <c r="B160" s="266">
        <v>500</v>
      </c>
      <c r="C160" s="266"/>
      <c r="D160" s="266"/>
      <c r="E160" s="266"/>
      <c r="F160" s="267"/>
      <c r="G160" s="214" t="s">
        <v>2</v>
      </c>
      <c r="H160" s="7"/>
      <c r="I160" s="148">
        <v>200</v>
      </c>
      <c r="J160" s="1">
        <v>122000</v>
      </c>
      <c r="K160" s="1"/>
      <c r="L160" s="131">
        <f>K160+J160</f>
        <v>122000</v>
      </c>
      <c r="M160" s="131"/>
      <c r="N160" s="131">
        <f>120000-88640</f>
        <v>31360</v>
      </c>
      <c r="O160" s="175"/>
      <c r="P160" s="169"/>
    </row>
    <row r="161" spans="1:16" s="70" customFormat="1" ht="24" customHeight="1">
      <c r="A161" s="67"/>
      <c r="B161" s="262" t="s">
        <v>67</v>
      </c>
      <c r="C161" s="262"/>
      <c r="D161" s="262"/>
      <c r="E161" s="262"/>
      <c r="F161" s="263"/>
      <c r="G161" s="214" t="s">
        <v>5</v>
      </c>
      <c r="H161" s="7" t="s">
        <v>0</v>
      </c>
      <c r="I161" s="148">
        <v>300</v>
      </c>
      <c r="J161" s="1">
        <v>7178000</v>
      </c>
      <c r="K161" s="1"/>
      <c r="L161" s="131">
        <f>K161+J161</f>
        <v>7178000</v>
      </c>
      <c r="M161" s="131"/>
      <c r="N161" s="131">
        <f>6852925-5081582</f>
        <v>1771343</v>
      </c>
      <c r="O161" s="150"/>
      <c r="P161" s="169"/>
    </row>
    <row r="162" spans="1:16" s="70" customFormat="1" ht="33.75" customHeight="1" hidden="1">
      <c r="A162" s="67"/>
      <c r="B162" s="134"/>
      <c r="C162" s="134"/>
      <c r="D162" s="134"/>
      <c r="E162" s="134"/>
      <c r="F162" s="135"/>
      <c r="G162" s="212" t="s">
        <v>608</v>
      </c>
      <c r="H162" s="147" t="s">
        <v>607</v>
      </c>
      <c r="I162" s="148"/>
      <c r="J162" s="1">
        <f>J163</f>
        <v>0</v>
      </c>
      <c r="K162" s="1"/>
      <c r="L162" s="131"/>
      <c r="M162" s="131"/>
      <c r="N162" s="131"/>
      <c r="O162" s="175"/>
      <c r="P162" s="169"/>
    </row>
    <row r="163" spans="1:16" s="70" customFormat="1" ht="57" customHeight="1" hidden="1">
      <c r="A163" s="67"/>
      <c r="B163" s="126"/>
      <c r="C163" s="126"/>
      <c r="D163" s="126"/>
      <c r="E163" s="126"/>
      <c r="F163" s="127"/>
      <c r="G163" s="214" t="s">
        <v>555</v>
      </c>
      <c r="H163" s="7" t="s">
        <v>603</v>
      </c>
      <c r="I163" s="148"/>
      <c r="J163" s="1">
        <f>J164</f>
        <v>0</v>
      </c>
      <c r="K163" s="1">
        <f>K164</f>
        <v>0</v>
      </c>
      <c r="L163" s="131">
        <f>L164</f>
        <v>0</v>
      </c>
      <c r="M163" s="131"/>
      <c r="N163" s="131"/>
      <c r="O163" s="175"/>
      <c r="P163" s="169"/>
    </row>
    <row r="164" spans="1:16" s="70" customFormat="1" ht="37.5" customHeight="1" hidden="1">
      <c r="A164" s="67"/>
      <c r="B164" s="126"/>
      <c r="C164" s="126"/>
      <c r="D164" s="126"/>
      <c r="E164" s="126"/>
      <c r="F164" s="127"/>
      <c r="G164" s="214" t="s">
        <v>5</v>
      </c>
      <c r="H164" s="7"/>
      <c r="I164" s="148">
        <v>300</v>
      </c>
      <c r="J164" s="1">
        <v>0</v>
      </c>
      <c r="K164" s="1"/>
      <c r="L164" s="131">
        <f>K164+J164</f>
        <v>0</v>
      </c>
      <c r="M164" s="131"/>
      <c r="N164" s="131"/>
      <c r="O164" s="175"/>
      <c r="P164" s="169"/>
    </row>
    <row r="165" spans="1:16" s="70" customFormat="1" ht="65.25" customHeight="1">
      <c r="A165" s="67"/>
      <c r="B165" s="68"/>
      <c r="C165" s="68"/>
      <c r="D165" s="68"/>
      <c r="E165" s="68"/>
      <c r="F165" s="69"/>
      <c r="G165" s="214" t="s">
        <v>133</v>
      </c>
      <c r="H165" s="7" t="s">
        <v>335</v>
      </c>
      <c r="I165" s="148" t="s">
        <v>0</v>
      </c>
      <c r="J165" s="1">
        <f>J167+J166</f>
        <v>14374000</v>
      </c>
      <c r="K165" s="1">
        <f>K167+K166</f>
        <v>0</v>
      </c>
      <c r="L165" s="131">
        <f>L167+L166</f>
        <v>14374000</v>
      </c>
      <c r="M165" s="131">
        <f>M167+M166</f>
        <v>0</v>
      </c>
      <c r="N165" s="131">
        <f>N167+N166</f>
        <v>4616000</v>
      </c>
      <c r="O165" s="175"/>
      <c r="P165" s="169"/>
    </row>
    <row r="166" spans="1:16" s="70" customFormat="1" ht="38.25" customHeight="1">
      <c r="A166" s="67"/>
      <c r="B166" s="266">
        <v>500</v>
      </c>
      <c r="C166" s="266"/>
      <c r="D166" s="266"/>
      <c r="E166" s="266"/>
      <c r="F166" s="267"/>
      <c r="G166" s="214" t="s">
        <v>2</v>
      </c>
      <c r="H166" s="7"/>
      <c r="I166" s="148">
        <v>200</v>
      </c>
      <c r="J166" s="1">
        <v>212424</v>
      </c>
      <c r="K166" s="1"/>
      <c r="L166" s="131">
        <f>K166+J166</f>
        <v>212424</v>
      </c>
      <c r="M166" s="131"/>
      <c r="N166" s="131">
        <f>223000-150000</f>
        <v>73000</v>
      </c>
      <c r="O166" s="175"/>
      <c r="P166" s="169"/>
    </row>
    <row r="167" spans="1:16" s="70" customFormat="1" ht="22.5" customHeight="1">
      <c r="A167" s="67"/>
      <c r="B167" s="262" t="s">
        <v>66</v>
      </c>
      <c r="C167" s="262"/>
      <c r="D167" s="262"/>
      <c r="E167" s="262"/>
      <c r="F167" s="263"/>
      <c r="G167" s="214" t="s">
        <v>5</v>
      </c>
      <c r="H167" s="7" t="s">
        <v>0</v>
      </c>
      <c r="I167" s="148">
        <v>300</v>
      </c>
      <c r="J167" s="1">
        <v>14161576</v>
      </c>
      <c r="K167" s="1"/>
      <c r="L167" s="131">
        <f>K167+J167</f>
        <v>14161576</v>
      </c>
      <c r="M167" s="131"/>
      <c r="N167" s="131">
        <f>14329950+158708-9961658+16000</f>
        <v>4543000</v>
      </c>
      <c r="O167" s="175"/>
      <c r="P167" s="169"/>
    </row>
    <row r="168" spans="1:16" s="70" customFormat="1" ht="14.25" customHeight="1">
      <c r="A168" s="67"/>
      <c r="B168" s="262" t="s">
        <v>65</v>
      </c>
      <c r="C168" s="262"/>
      <c r="D168" s="262"/>
      <c r="E168" s="262"/>
      <c r="F168" s="263"/>
      <c r="G168" s="214" t="s">
        <v>135</v>
      </c>
      <c r="H168" s="7" t="s">
        <v>336</v>
      </c>
      <c r="I168" s="148" t="s">
        <v>0</v>
      </c>
      <c r="J168" s="1">
        <f>J170+J169</f>
        <v>4440000</v>
      </c>
      <c r="K168" s="1">
        <f>K170+K169</f>
        <v>124706</v>
      </c>
      <c r="L168" s="131">
        <f>L170+L169</f>
        <v>4564706</v>
      </c>
      <c r="M168" s="131">
        <f>M170+M169</f>
        <v>0</v>
      </c>
      <c r="N168" s="131">
        <f>N170+N169</f>
        <v>1616629</v>
      </c>
      <c r="O168" s="175"/>
      <c r="P168" s="169"/>
    </row>
    <row r="169" spans="1:16" s="70" customFormat="1" ht="33" customHeight="1">
      <c r="A169" s="67"/>
      <c r="B169" s="266">
        <v>500</v>
      </c>
      <c r="C169" s="266"/>
      <c r="D169" s="266"/>
      <c r="E169" s="266"/>
      <c r="F169" s="267"/>
      <c r="G169" s="214" t="s">
        <v>2</v>
      </c>
      <c r="H169" s="7"/>
      <c r="I169" s="148">
        <v>200</v>
      </c>
      <c r="J169" s="1">
        <v>65616</v>
      </c>
      <c r="K169" s="1">
        <v>-30000</v>
      </c>
      <c r="L169" s="131">
        <f>K169+J169</f>
        <v>35616</v>
      </c>
      <c r="M169" s="131"/>
      <c r="N169" s="131">
        <f>57400-35400</f>
        <v>22000</v>
      </c>
      <c r="O169" s="175"/>
      <c r="P169" s="169"/>
    </row>
    <row r="170" spans="1:16" s="70" customFormat="1" ht="21" customHeight="1">
      <c r="A170" s="67"/>
      <c r="B170" s="262" t="s">
        <v>64</v>
      </c>
      <c r="C170" s="262"/>
      <c r="D170" s="262"/>
      <c r="E170" s="262"/>
      <c r="F170" s="263"/>
      <c r="G170" s="214" t="s">
        <v>5</v>
      </c>
      <c r="H170" s="7" t="s">
        <v>0</v>
      </c>
      <c r="I170" s="148">
        <v>300</v>
      </c>
      <c r="J170" s="1">
        <v>4374384</v>
      </c>
      <c r="K170" s="1">
        <v>154706</v>
      </c>
      <c r="L170" s="131">
        <f>K170+J170</f>
        <v>4529090</v>
      </c>
      <c r="M170" s="131"/>
      <c r="N170" s="131">
        <f>4118729-175750-2348350</f>
        <v>1594629</v>
      </c>
      <c r="O170" s="175"/>
      <c r="P170" s="169"/>
    </row>
    <row r="171" spans="1:16" s="48" customFormat="1" ht="31.5" hidden="1">
      <c r="A171" s="47"/>
      <c r="B171" s="49"/>
      <c r="C171" s="49"/>
      <c r="D171" s="49"/>
      <c r="E171" s="49"/>
      <c r="F171" s="50"/>
      <c r="G171" s="214" t="s">
        <v>136</v>
      </c>
      <c r="H171" s="7" t="s">
        <v>62</v>
      </c>
      <c r="I171" s="148" t="s">
        <v>0</v>
      </c>
      <c r="J171" s="1">
        <f>J172</f>
        <v>0</v>
      </c>
      <c r="K171" s="1"/>
      <c r="L171" s="131"/>
      <c r="M171" s="131"/>
      <c r="N171" s="131"/>
      <c r="O171" s="175"/>
      <c r="P171" s="169"/>
    </row>
    <row r="172" spans="1:16" ht="19.5" customHeight="1" hidden="1">
      <c r="A172" s="8"/>
      <c r="B172" s="260">
        <v>500</v>
      </c>
      <c r="C172" s="260"/>
      <c r="D172" s="260"/>
      <c r="E172" s="260"/>
      <c r="F172" s="261"/>
      <c r="G172" s="214" t="s">
        <v>5</v>
      </c>
      <c r="H172" s="7" t="s">
        <v>0</v>
      </c>
      <c r="I172" s="148">
        <v>300</v>
      </c>
      <c r="J172" s="1">
        <v>0</v>
      </c>
      <c r="K172" s="1"/>
      <c r="L172" s="131"/>
      <c r="M172" s="131"/>
      <c r="N172" s="131"/>
      <c r="O172" s="175"/>
      <c r="P172" s="169"/>
    </row>
    <row r="173" spans="7:16" ht="15.75" hidden="1">
      <c r="G173" s="229"/>
      <c r="H173" s="230"/>
      <c r="I173" s="230"/>
      <c r="J173" s="230"/>
      <c r="K173" s="131"/>
      <c r="L173" s="131"/>
      <c r="M173" s="131"/>
      <c r="N173" s="131"/>
      <c r="O173" s="177"/>
      <c r="P173" s="169"/>
    </row>
    <row r="174" spans="7:16" ht="15.75" hidden="1">
      <c r="G174" s="229"/>
      <c r="H174" s="230"/>
      <c r="I174" s="230"/>
      <c r="J174" s="230"/>
      <c r="K174" s="131"/>
      <c r="L174" s="131"/>
      <c r="M174" s="131"/>
      <c r="N174" s="131"/>
      <c r="O174" s="177"/>
      <c r="P174" s="169"/>
    </row>
    <row r="175" spans="1:16" s="70" customFormat="1" ht="35.25" customHeight="1">
      <c r="A175" s="67"/>
      <c r="B175" s="68"/>
      <c r="C175" s="68"/>
      <c r="D175" s="68"/>
      <c r="E175" s="68"/>
      <c r="F175" s="69"/>
      <c r="G175" s="214" t="s">
        <v>137</v>
      </c>
      <c r="H175" s="7" t="s">
        <v>337</v>
      </c>
      <c r="I175" s="148" t="s">
        <v>0</v>
      </c>
      <c r="J175" s="1">
        <f>J177+J176</f>
        <v>6700000</v>
      </c>
      <c r="K175" s="1">
        <f>K177+K176</f>
        <v>0</v>
      </c>
      <c r="L175" s="131">
        <f>L177+L176</f>
        <v>6700000</v>
      </c>
      <c r="M175" s="131">
        <f>M177+M176</f>
        <v>0</v>
      </c>
      <c r="N175" s="131">
        <f>N177+N176</f>
        <v>1380000</v>
      </c>
      <c r="O175" s="175"/>
      <c r="P175" s="169"/>
    </row>
    <row r="176" spans="1:16" s="70" customFormat="1" ht="33" customHeight="1">
      <c r="A176" s="67"/>
      <c r="B176" s="68"/>
      <c r="C176" s="68"/>
      <c r="D176" s="68"/>
      <c r="E176" s="68"/>
      <c r="F176" s="69"/>
      <c r="G176" s="214" t="s">
        <v>2</v>
      </c>
      <c r="H176" s="7"/>
      <c r="I176" s="148">
        <v>200</v>
      </c>
      <c r="J176" s="1">
        <v>17000</v>
      </c>
      <c r="K176" s="1"/>
      <c r="L176" s="131">
        <f>K176+J176</f>
        <v>17000</v>
      </c>
      <c r="M176" s="131"/>
      <c r="N176" s="131">
        <f>20000-17000</f>
        <v>3000</v>
      </c>
      <c r="O176" s="175"/>
      <c r="P176" s="169"/>
    </row>
    <row r="177" spans="1:16" s="70" customFormat="1" ht="21.75" customHeight="1">
      <c r="A177" s="67"/>
      <c r="B177" s="262" t="s">
        <v>61</v>
      </c>
      <c r="C177" s="262"/>
      <c r="D177" s="262"/>
      <c r="E177" s="262"/>
      <c r="F177" s="263"/>
      <c r="G177" s="214" t="s">
        <v>5</v>
      </c>
      <c r="H177" s="7" t="s">
        <v>0</v>
      </c>
      <c r="I177" s="148">
        <v>300</v>
      </c>
      <c r="J177" s="1">
        <v>6683000</v>
      </c>
      <c r="K177" s="1"/>
      <c r="L177" s="131">
        <f>K177+J177</f>
        <v>6683000</v>
      </c>
      <c r="M177" s="131"/>
      <c r="N177" s="131">
        <f>5721980-4344980</f>
        <v>1377000</v>
      </c>
      <c r="O177" s="175"/>
      <c r="P177" s="169"/>
    </row>
    <row r="178" spans="1:16" s="70" customFormat="1" ht="51" customHeight="1">
      <c r="A178" s="67"/>
      <c r="B178" s="75"/>
      <c r="C178" s="75"/>
      <c r="D178" s="75"/>
      <c r="E178" s="75"/>
      <c r="F178" s="76"/>
      <c r="G178" s="214" t="s">
        <v>494</v>
      </c>
      <c r="H178" s="7" t="s">
        <v>526</v>
      </c>
      <c r="I178" s="148"/>
      <c r="J178" s="1">
        <f>SUM(J179)</f>
        <v>152381</v>
      </c>
      <c r="K178" s="1">
        <f>SUM(K179)</f>
        <v>-3537</v>
      </c>
      <c r="L178" s="131">
        <f>SUM(L179)</f>
        <v>148844</v>
      </c>
      <c r="M178" s="131">
        <f>SUM(M179)</f>
        <v>0</v>
      </c>
      <c r="N178" s="131">
        <f>SUM(N179)</f>
        <v>61200</v>
      </c>
      <c r="O178" s="175"/>
      <c r="P178" s="169"/>
    </row>
    <row r="179" spans="1:16" s="70" customFormat="1" ht="24" customHeight="1">
      <c r="A179" s="67"/>
      <c r="B179" s="75"/>
      <c r="C179" s="75"/>
      <c r="D179" s="75"/>
      <c r="E179" s="75"/>
      <c r="F179" s="76"/>
      <c r="G179" s="214" t="s">
        <v>5</v>
      </c>
      <c r="H179" s="7"/>
      <c r="I179" s="148">
        <v>300</v>
      </c>
      <c r="J179" s="1">
        <v>152381</v>
      </c>
      <c r="K179" s="1">
        <v>-3537</v>
      </c>
      <c r="L179" s="131">
        <f>K179+J179</f>
        <v>148844</v>
      </c>
      <c r="M179" s="131"/>
      <c r="N179" s="131">
        <f>148431-20684-66547</f>
        <v>61200</v>
      </c>
      <c r="O179" s="175"/>
      <c r="P179" s="169"/>
    </row>
    <row r="180" spans="1:16" s="70" customFormat="1" ht="75" customHeight="1" hidden="1">
      <c r="A180" s="67"/>
      <c r="B180" s="75"/>
      <c r="C180" s="75"/>
      <c r="D180" s="75"/>
      <c r="E180" s="75"/>
      <c r="F180" s="76"/>
      <c r="G180" s="214" t="s">
        <v>527</v>
      </c>
      <c r="H180" s="7" t="s">
        <v>528</v>
      </c>
      <c r="I180" s="148"/>
      <c r="J180" s="1">
        <f>SUM(J181)</f>
        <v>0</v>
      </c>
      <c r="K180" s="1">
        <f>SUM(K181)</f>
        <v>0</v>
      </c>
      <c r="L180" s="131">
        <f>SUM(L181)</f>
        <v>0</v>
      </c>
      <c r="M180" s="131"/>
      <c r="N180" s="131"/>
      <c r="O180" s="175"/>
      <c r="P180" s="169"/>
    </row>
    <row r="181" spans="1:16" s="70" customFormat="1" ht="30.75" customHeight="1" hidden="1">
      <c r="A181" s="67"/>
      <c r="B181" s="75"/>
      <c r="C181" s="75"/>
      <c r="D181" s="75"/>
      <c r="E181" s="75"/>
      <c r="F181" s="76"/>
      <c r="G181" s="214" t="s">
        <v>2</v>
      </c>
      <c r="H181" s="7"/>
      <c r="I181" s="148">
        <v>200</v>
      </c>
      <c r="J181" s="1">
        <v>0</v>
      </c>
      <c r="K181" s="1"/>
      <c r="L181" s="131">
        <f>K181+J181</f>
        <v>0</v>
      </c>
      <c r="M181" s="131"/>
      <c r="N181" s="131"/>
      <c r="O181" s="175"/>
      <c r="P181" s="169"/>
    </row>
    <row r="182" spans="1:16" s="70" customFormat="1" ht="69.75" customHeight="1">
      <c r="A182" s="67"/>
      <c r="B182" s="75"/>
      <c r="C182" s="75"/>
      <c r="D182" s="75"/>
      <c r="E182" s="75"/>
      <c r="F182" s="76"/>
      <c r="G182" s="214" t="s">
        <v>529</v>
      </c>
      <c r="H182" s="7" t="s">
        <v>530</v>
      </c>
      <c r="I182" s="148"/>
      <c r="J182" s="1">
        <f>SUM(J183)</f>
        <v>2303</v>
      </c>
      <c r="K182" s="1">
        <f>SUM(K183)</f>
        <v>0</v>
      </c>
      <c r="L182" s="131">
        <f>SUM(L183)</f>
        <v>2303</v>
      </c>
      <c r="M182" s="131">
        <f>SUM(M183)</f>
        <v>0</v>
      </c>
      <c r="N182" s="131">
        <f>SUM(N183)</f>
        <v>810</v>
      </c>
      <c r="O182" s="175"/>
      <c r="P182" s="169"/>
    </row>
    <row r="183" spans="1:16" s="70" customFormat="1" ht="35.25" customHeight="1">
      <c r="A183" s="67"/>
      <c r="B183" s="75"/>
      <c r="C183" s="75"/>
      <c r="D183" s="75"/>
      <c r="E183" s="75"/>
      <c r="F183" s="76"/>
      <c r="G183" s="214" t="s">
        <v>2</v>
      </c>
      <c r="H183" s="7"/>
      <c r="I183" s="148">
        <v>200</v>
      </c>
      <c r="J183" s="1">
        <v>2303</v>
      </c>
      <c r="K183" s="1"/>
      <c r="L183" s="131">
        <f>K183+J183</f>
        <v>2303</v>
      </c>
      <c r="M183" s="131"/>
      <c r="N183" s="131">
        <f>2301-1218-273</f>
        <v>810</v>
      </c>
      <c r="O183" s="175"/>
      <c r="P183" s="169"/>
    </row>
    <row r="184" spans="1:16" s="70" customFormat="1" ht="56.25" customHeight="1">
      <c r="A184" s="67"/>
      <c r="B184" s="154"/>
      <c r="C184" s="154"/>
      <c r="D184" s="154"/>
      <c r="E184" s="154"/>
      <c r="F184" s="155"/>
      <c r="G184" s="214" t="s">
        <v>691</v>
      </c>
      <c r="H184" s="7" t="s">
        <v>690</v>
      </c>
      <c r="I184" s="148"/>
      <c r="J184" s="1">
        <f>J185</f>
        <v>187238</v>
      </c>
      <c r="K184" s="1"/>
      <c r="L184" s="131"/>
      <c r="M184" s="131">
        <f>M185</f>
        <v>0</v>
      </c>
      <c r="N184" s="131">
        <f>N185</f>
        <v>121000</v>
      </c>
      <c r="O184" s="150"/>
      <c r="P184" s="169"/>
    </row>
    <row r="185" spans="1:16" s="70" customFormat="1" ht="35.25" customHeight="1">
      <c r="A185" s="67"/>
      <c r="B185" s="154"/>
      <c r="C185" s="154"/>
      <c r="D185" s="154"/>
      <c r="E185" s="154"/>
      <c r="F185" s="155"/>
      <c r="G185" s="214" t="s">
        <v>2</v>
      </c>
      <c r="H185" s="7"/>
      <c r="I185" s="148">
        <v>200</v>
      </c>
      <c r="J185" s="1">
        <v>187238</v>
      </c>
      <c r="K185" s="1"/>
      <c r="L185" s="131"/>
      <c r="M185" s="131"/>
      <c r="N185" s="131">
        <f>221479-4000-96479</f>
        <v>121000</v>
      </c>
      <c r="O185" s="150"/>
      <c r="P185" s="169"/>
    </row>
    <row r="186" spans="1:16" s="70" customFormat="1" ht="68.25" customHeight="1" hidden="1">
      <c r="A186" s="67"/>
      <c r="B186" s="140"/>
      <c r="C186" s="140"/>
      <c r="D186" s="140"/>
      <c r="E186" s="140"/>
      <c r="F186" s="141"/>
      <c r="G186" s="214" t="s">
        <v>635</v>
      </c>
      <c r="H186" s="7" t="s">
        <v>634</v>
      </c>
      <c r="I186" s="148"/>
      <c r="J186" s="1">
        <f>J187</f>
        <v>0</v>
      </c>
      <c r="K186" s="1">
        <f>K187</f>
        <v>370000</v>
      </c>
      <c r="L186" s="131">
        <f>L187</f>
        <v>370000</v>
      </c>
      <c r="M186" s="131"/>
      <c r="N186" s="131"/>
      <c r="O186" s="175"/>
      <c r="P186" s="169"/>
    </row>
    <row r="187" spans="1:16" s="70" customFormat="1" ht="18" customHeight="1" hidden="1">
      <c r="A187" s="67"/>
      <c r="B187" s="140"/>
      <c r="C187" s="140"/>
      <c r="D187" s="140"/>
      <c r="E187" s="140"/>
      <c r="F187" s="141"/>
      <c r="G187" s="214" t="s">
        <v>5</v>
      </c>
      <c r="H187" s="7"/>
      <c r="I187" s="148">
        <v>300</v>
      </c>
      <c r="J187" s="1">
        <v>0</v>
      </c>
      <c r="K187" s="1">
        <v>370000</v>
      </c>
      <c r="L187" s="131">
        <f>K187+J187</f>
        <v>370000</v>
      </c>
      <c r="M187" s="131"/>
      <c r="N187" s="131"/>
      <c r="O187" s="175"/>
      <c r="P187" s="169"/>
    </row>
    <row r="188" spans="1:16" s="70" customFormat="1" ht="69" customHeight="1">
      <c r="A188" s="67"/>
      <c r="B188" s="207"/>
      <c r="C188" s="207"/>
      <c r="D188" s="207"/>
      <c r="E188" s="207"/>
      <c r="F188" s="208"/>
      <c r="G188" s="214" t="s">
        <v>793</v>
      </c>
      <c r="H188" s="7" t="s">
        <v>634</v>
      </c>
      <c r="I188" s="148"/>
      <c r="J188" s="1"/>
      <c r="K188" s="1"/>
      <c r="L188" s="131"/>
      <c r="M188" s="131"/>
      <c r="N188" s="131">
        <f>N189</f>
        <v>185000</v>
      </c>
      <c r="O188" s="175"/>
      <c r="P188" s="169"/>
    </row>
    <row r="189" spans="1:16" s="70" customFormat="1" ht="18" customHeight="1">
      <c r="A189" s="67"/>
      <c r="B189" s="207"/>
      <c r="C189" s="207"/>
      <c r="D189" s="207"/>
      <c r="E189" s="207"/>
      <c r="F189" s="208"/>
      <c r="G189" s="214" t="s">
        <v>5</v>
      </c>
      <c r="H189" s="7"/>
      <c r="I189" s="148">
        <v>300</v>
      </c>
      <c r="J189" s="1"/>
      <c r="K189" s="1"/>
      <c r="L189" s="131"/>
      <c r="M189" s="131"/>
      <c r="N189" s="131">
        <v>185000</v>
      </c>
      <c r="O189" s="175"/>
      <c r="P189" s="169"/>
    </row>
    <row r="190" spans="1:16" s="70" customFormat="1" ht="35.25" customHeight="1">
      <c r="A190" s="67"/>
      <c r="B190" s="136"/>
      <c r="C190" s="136"/>
      <c r="D190" s="136"/>
      <c r="E190" s="136"/>
      <c r="F190" s="137"/>
      <c r="G190" s="212" t="s">
        <v>608</v>
      </c>
      <c r="H190" s="147" t="s">
        <v>607</v>
      </c>
      <c r="I190" s="148"/>
      <c r="J190" s="1">
        <f>J191+J193+J197</f>
        <v>22577864</v>
      </c>
      <c r="K190" s="1">
        <f>K191+K193</f>
        <v>0</v>
      </c>
      <c r="L190" s="131">
        <f>L191+L193</f>
        <v>22404564</v>
      </c>
      <c r="M190" s="131">
        <f>M191+M193+M197</f>
        <v>0</v>
      </c>
      <c r="N190" s="131">
        <f>N191+N193+N197</f>
        <v>2248095</v>
      </c>
      <c r="O190" s="150"/>
      <c r="P190" s="169"/>
    </row>
    <row r="191" spans="1:16" s="70" customFormat="1" ht="51" customHeight="1">
      <c r="A191" s="67"/>
      <c r="B191" s="136"/>
      <c r="C191" s="136"/>
      <c r="D191" s="136"/>
      <c r="E191" s="136"/>
      <c r="F191" s="137"/>
      <c r="G191" s="214" t="s">
        <v>555</v>
      </c>
      <c r="H191" s="7" t="s">
        <v>603</v>
      </c>
      <c r="I191" s="148"/>
      <c r="J191" s="1">
        <f>J192</f>
        <v>12230244</v>
      </c>
      <c r="K191" s="1">
        <f>K192</f>
        <v>0</v>
      </c>
      <c r="L191" s="131">
        <f>L192</f>
        <v>12230244</v>
      </c>
      <c r="M191" s="131">
        <f>M192</f>
        <v>0</v>
      </c>
      <c r="N191" s="131">
        <f>N192</f>
        <v>2208690</v>
      </c>
      <c r="O191" s="150"/>
      <c r="P191" s="169"/>
    </row>
    <row r="192" spans="1:16" s="70" customFormat="1" ht="24.75" customHeight="1">
      <c r="A192" s="67"/>
      <c r="B192" s="136"/>
      <c r="C192" s="136"/>
      <c r="D192" s="136"/>
      <c r="E192" s="136"/>
      <c r="F192" s="137"/>
      <c r="G192" s="214" t="s">
        <v>5</v>
      </c>
      <c r="H192" s="7"/>
      <c r="I192" s="148">
        <v>300</v>
      </c>
      <c r="J192" s="1">
        <v>12230244</v>
      </c>
      <c r="K192" s="1"/>
      <c r="L192" s="131">
        <f>K192+J192</f>
        <v>12230244</v>
      </c>
      <c r="M192" s="131"/>
      <c r="N192" s="131">
        <f>9316656-1919151-5188815</f>
        <v>2208690</v>
      </c>
      <c r="O192" s="150"/>
      <c r="P192" s="169"/>
    </row>
    <row r="193" spans="1:16" s="70" customFormat="1" ht="42" customHeight="1">
      <c r="A193" s="67"/>
      <c r="B193" s="136"/>
      <c r="C193" s="136"/>
      <c r="D193" s="136"/>
      <c r="E193" s="136"/>
      <c r="F193" s="137"/>
      <c r="G193" s="214" t="s">
        <v>564</v>
      </c>
      <c r="H193" s="7" t="s">
        <v>604</v>
      </c>
      <c r="I193" s="148"/>
      <c r="J193" s="1">
        <f>J194+J196</f>
        <v>10174320</v>
      </c>
      <c r="K193" s="1">
        <f>K194+K196</f>
        <v>0</v>
      </c>
      <c r="L193" s="131">
        <f>L194+L196</f>
        <v>10174320</v>
      </c>
      <c r="M193" s="131">
        <f>M194+M196</f>
        <v>0</v>
      </c>
      <c r="N193" s="131">
        <f>N195+N196</f>
        <v>0</v>
      </c>
      <c r="O193" s="175"/>
      <c r="P193" s="169"/>
    </row>
    <row r="194" spans="1:16" s="70" customFormat="1" ht="35.25" customHeight="1" hidden="1">
      <c r="A194" s="67"/>
      <c r="B194" s="136"/>
      <c r="C194" s="136"/>
      <c r="D194" s="136"/>
      <c r="E194" s="136"/>
      <c r="F194" s="137"/>
      <c r="G194" s="214" t="s">
        <v>2</v>
      </c>
      <c r="H194" s="7"/>
      <c r="I194" s="148">
        <v>200</v>
      </c>
      <c r="J194" s="1">
        <v>0</v>
      </c>
      <c r="K194" s="1"/>
      <c r="L194" s="131">
        <f>K194+J194</f>
        <v>0</v>
      </c>
      <c r="M194" s="131"/>
      <c r="N194" s="131"/>
      <c r="O194" s="175"/>
      <c r="P194" s="169"/>
    </row>
    <row r="195" spans="1:16" s="70" customFormat="1" ht="35.25" customHeight="1">
      <c r="A195" s="67"/>
      <c r="B195" s="182"/>
      <c r="C195" s="182"/>
      <c r="D195" s="182"/>
      <c r="E195" s="182"/>
      <c r="F195" s="183"/>
      <c r="G195" s="214" t="s">
        <v>2</v>
      </c>
      <c r="H195" s="7"/>
      <c r="I195" s="148">
        <v>200</v>
      </c>
      <c r="J195" s="1"/>
      <c r="K195" s="1"/>
      <c r="L195" s="131"/>
      <c r="M195" s="131"/>
      <c r="N195" s="131"/>
      <c r="O195" s="175"/>
      <c r="P195" s="169"/>
    </row>
    <row r="196" spans="1:16" s="70" customFormat="1" ht="26.25" customHeight="1">
      <c r="A196" s="67"/>
      <c r="B196" s="136"/>
      <c r="C196" s="136"/>
      <c r="D196" s="136"/>
      <c r="E196" s="136"/>
      <c r="F196" s="137"/>
      <c r="G196" s="214" t="s">
        <v>5</v>
      </c>
      <c r="H196" s="7"/>
      <c r="I196" s="148">
        <v>300</v>
      </c>
      <c r="J196" s="1">
        <v>10174320</v>
      </c>
      <c r="K196" s="1"/>
      <c r="L196" s="131">
        <f>K196+J196</f>
        <v>10174320</v>
      </c>
      <c r="M196" s="131"/>
      <c r="N196" s="131"/>
      <c r="O196" s="175"/>
      <c r="P196" s="169"/>
    </row>
    <row r="197" spans="1:16" s="70" customFormat="1" ht="67.5" customHeight="1">
      <c r="A197" s="67"/>
      <c r="B197" s="156"/>
      <c r="C197" s="156"/>
      <c r="D197" s="156"/>
      <c r="E197" s="156"/>
      <c r="F197" s="157"/>
      <c r="G197" s="214" t="s">
        <v>527</v>
      </c>
      <c r="H197" s="7" t="s">
        <v>692</v>
      </c>
      <c r="I197" s="148"/>
      <c r="J197" s="1">
        <f>J198</f>
        <v>173300</v>
      </c>
      <c r="K197" s="1"/>
      <c r="L197" s="131"/>
      <c r="M197" s="131">
        <f>M198</f>
        <v>0</v>
      </c>
      <c r="N197" s="131">
        <f>N198</f>
        <v>39405</v>
      </c>
      <c r="O197" s="175"/>
      <c r="P197" s="169"/>
    </row>
    <row r="198" spans="1:16" s="70" customFormat="1" ht="36" customHeight="1">
      <c r="A198" s="67"/>
      <c r="B198" s="156"/>
      <c r="C198" s="156"/>
      <c r="D198" s="156"/>
      <c r="E198" s="156"/>
      <c r="F198" s="157"/>
      <c r="G198" s="214" t="s">
        <v>2</v>
      </c>
      <c r="H198" s="7"/>
      <c r="I198" s="148">
        <v>200</v>
      </c>
      <c r="J198" s="1">
        <v>173300</v>
      </c>
      <c r="K198" s="1"/>
      <c r="L198" s="131"/>
      <c r="M198" s="131"/>
      <c r="N198" s="131">
        <f>121116-4882-76829</f>
        <v>39405</v>
      </c>
      <c r="O198" s="175"/>
      <c r="P198" s="169"/>
    </row>
    <row r="199" spans="1:16" ht="55.5" customHeight="1">
      <c r="A199" s="8"/>
      <c r="B199" s="24"/>
      <c r="C199" s="24"/>
      <c r="D199" s="24"/>
      <c r="E199" s="24"/>
      <c r="F199" s="25"/>
      <c r="G199" s="212" t="s">
        <v>340</v>
      </c>
      <c r="H199" s="147" t="s">
        <v>338</v>
      </c>
      <c r="I199" s="148"/>
      <c r="J199" s="1">
        <f>J200+J203+J205</f>
        <v>9190990</v>
      </c>
      <c r="K199" s="1">
        <f>K200</f>
        <v>0</v>
      </c>
      <c r="L199" s="131">
        <f>L200</f>
        <v>878140</v>
      </c>
      <c r="M199" s="131">
        <f>M200+M203+M205</f>
        <v>0</v>
      </c>
      <c r="N199" s="131">
        <f>N200+N203+N205</f>
        <v>9578732</v>
      </c>
      <c r="O199" s="150"/>
      <c r="P199" s="169"/>
    </row>
    <row r="200" spans="1:16" s="70" customFormat="1" ht="27" customHeight="1">
      <c r="A200" s="67"/>
      <c r="B200" s="79"/>
      <c r="C200" s="79"/>
      <c r="D200" s="79"/>
      <c r="E200" s="79"/>
      <c r="F200" s="80"/>
      <c r="G200" s="214" t="s">
        <v>556</v>
      </c>
      <c r="H200" s="7" t="s">
        <v>339</v>
      </c>
      <c r="I200" s="148"/>
      <c r="J200" s="1">
        <f>J202+J201</f>
        <v>878140</v>
      </c>
      <c r="K200" s="1">
        <f>K202+K201</f>
        <v>0</v>
      </c>
      <c r="L200" s="131">
        <f>L202+L201</f>
        <v>878140</v>
      </c>
      <c r="M200" s="131">
        <f>M202+M201</f>
        <v>0</v>
      </c>
      <c r="N200" s="131">
        <f>N202+N201</f>
        <v>1850000</v>
      </c>
      <c r="O200" s="175"/>
      <c r="P200" s="169"/>
    </row>
    <row r="201" spans="1:16" s="70" customFormat="1" ht="35.25" customHeight="1">
      <c r="A201" s="67"/>
      <c r="B201" s="124"/>
      <c r="C201" s="124"/>
      <c r="D201" s="124"/>
      <c r="E201" s="124"/>
      <c r="F201" s="125"/>
      <c r="G201" s="214" t="s">
        <v>2</v>
      </c>
      <c r="H201" s="7"/>
      <c r="I201" s="148">
        <v>200</v>
      </c>
      <c r="J201" s="1">
        <v>12640</v>
      </c>
      <c r="K201" s="1"/>
      <c r="L201" s="131">
        <f>K201+J201</f>
        <v>12640</v>
      </c>
      <c r="M201" s="131"/>
      <c r="N201" s="131">
        <v>23500</v>
      </c>
      <c r="O201" s="175"/>
      <c r="P201" s="169"/>
    </row>
    <row r="202" spans="1:16" s="70" customFormat="1" ht="21.75" customHeight="1">
      <c r="A202" s="67"/>
      <c r="B202" s="79"/>
      <c r="C202" s="79"/>
      <c r="D202" s="79"/>
      <c r="E202" s="79"/>
      <c r="F202" s="80"/>
      <c r="G202" s="214" t="s">
        <v>5</v>
      </c>
      <c r="H202" s="7"/>
      <c r="I202" s="148">
        <v>300</v>
      </c>
      <c r="J202" s="1">
        <v>865500</v>
      </c>
      <c r="K202" s="1"/>
      <c r="L202" s="131">
        <f>K202+J202</f>
        <v>865500</v>
      </c>
      <c r="M202" s="131"/>
      <c r="N202" s="131">
        <v>1826500</v>
      </c>
      <c r="O202" s="175"/>
      <c r="P202" s="169"/>
    </row>
    <row r="203" spans="1:16" s="70" customFormat="1" ht="72" customHeight="1">
      <c r="A203" s="67"/>
      <c r="B203" s="154"/>
      <c r="C203" s="154"/>
      <c r="D203" s="154"/>
      <c r="E203" s="154"/>
      <c r="F203" s="155"/>
      <c r="G203" s="214" t="s">
        <v>686</v>
      </c>
      <c r="H203" s="7" t="s">
        <v>684</v>
      </c>
      <c r="I203" s="148"/>
      <c r="J203" s="1">
        <f>J204</f>
        <v>122850</v>
      </c>
      <c r="K203" s="1"/>
      <c r="L203" s="131"/>
      <c r="M203" s="131">
        <f>M204</f>
        <v>0</v>
      </c>
      <c r="N203" s="131">
        <f>N204</f>
        <v>114218</v>
      </c>
      <c r="O203" s="150"/>
      <c r="P203" s="169"/>
    </row>
    <row r="204" spans="1:16" s="70" customFormat="1" ht="36" customHeight="1">
      <c r="A204" s="67"/>
      <c r="B204" s="154"/>
      <c r="C204" s="154"/>
      <c r="D204" s="154"/>
      <c r="E204" s="154"/>
      <c r="F204" s="155"/>
      <c r="G204" s="214" t="s">
        <v>2</v>
      </c>
      <c r="H204" s="7"/>
      <c r="I204" s="148">
        <v>200</v>
      </c>
      <c r="J204" s="1">
        <v>122850</v>
      </c>
      <c r="K204" s="1"/>
      <c r="L204" s="131"/>
      <c r="M204" s="131"/>
      <c r="N204" s="131">
        <f>95261+18957</f>
        <v>114218</v>
      </c>
      <c r="O204" s="150"/>
      <c r="P204" s="169"/>
    </row>
    <row r="205" spans="1:16" s="70" customFormat="1" ht="54.75" customHeight="1">
      <c r="A205" s="67"/>
      <c r="B205" s="154"/>
      <c r="C205" s="154"/>
      <c r="D205" s="154"/>
      <c r="E205" s="154"/>
      <c r="F205" s="155"/>
      <c r="G205" s="214" t="s">
        <v>687</v>
      </c>
      <c r="H205" s="7" t="s">
        <v>685</v>
      </c>
      <c r="I205" s="148"/>
      <c r="J205" s="1">
        <f>J206</f>
        <v>8190000</v>
      </c>
      <c r="K205" s="1"/>
      <c r="L205" s="131"/>
      <c r="M205" s="131">
        <f>M206</f>
        <v>0</v>
      </c>
      <c r="N205" s="131">
        <f>N206</f>
        <v>7614514</v>
      </c>
      <c r="O205" s="150"/>
      <c r="P205" s="169"/>
    </row>
    <row r="206" spans="1:16" s="70" customFormat="1" ht="21.75" customHeight="1">
      <c r="A206" s="67"/>
      <c r="B206" s="154"/>
      <c r="C206" s="154"/>
      <c r="D206" s="154"/>
      <c r="E206" s="154"/>
      <c r="F206" s="155"/>
      <c r="G206" s="214" t="s">
        <v>5</v>
      </c>
      <c r="H206" s="7"/>
      <c r="I206" s="148">
        <v>300</v>
      </c>
      <c r="J206" s="1">
        <v>8190000</v>
      </c>
      <c r="K206" s="1"/>
      <c r="L206" s="131"/>
      <c r="M206" s="131"/>
      <c r="N206" s="131">
        <f>1714701+5558595+341218</f>
        <v>7614514</v>
      </c>
      <c r="O206" s="150"/>
      <c r="P206" s="169"/>
    </row>
    <row r="207" spans="1:16" ht="33" customHeight="1">
      <c r="A207" s="8"/>
      <c r="B207" s="24"/>
      <c r="C207" s="24"/>
      <c r="D207" s="24"/>
      <c r="E207" s="24"/>
      <c r="F207" s="25"/>
      <c r="G207" s="212" t="s">
        <v>346</v>
      </c>
      <c r="H207" s="147" t="s">
        <v>508</v>
      </c>
      <c r="I207" s="148"/>
      <c r="J207" s="1">
        <f>J210+J208</f>
        <v>57807486</v>
      </c>
      <c r="K207" s="1">
        <f>K210+K208</f>
        <v>0</v>
      </c>
      <c r="L207" s="131">
        <f>L210+L208</f>
        <v>57807486</v>
      </c>
      <c r="M207" s="131">
        <f>M210+M208</f>
        <v>0</v>
      </c>
      <c r="N207" s="131">
        <f>N210+N208</f>
        <v>67263085</v>
      </c>
      <c r="O207" s="175"/>
      <c r="P207" s="169"/>
    </row>
    <row r="208" spans="1:16" ht="56.25" customHeight="1" hidden="1">
      <c r="A208" s="8"/>
      <c r="B208" s="24"/>
      <c r="C208" s="24"/>
      <c r="D208" s="24"/>
      <c r="E208" s="24"/>
      <c r="F208" s="25"/>
      <c r="G208" s="214" t="s">
        <v>594</v>
      </c>
      <c r="H208" s="7" t="s">
        <v>605</v>
      </c>
      <c r="I208" s="148"/>
      <c r="J208" s="1">
        <f>J209</f>
        <v>0</v>
      </c>
      <c r="K208" s="1">
        <f>K209</f>
        <v>0</v>
      </c>
      <c r="L208" s="131">
        <f>L209</f>
        <v>0</v>
      </c>
      <c r="M208" s="131"/>
      <c r="N208" s="131"/>
      <c r="O208" s="175"/>
      <c r="P208" s="169"/>
    </row>
    <row r="209" spans="1:16" ht="54" customHeight="1" hidden="1">
      <c r="A209" s="8"/>
      <c r="B209" s="24"/>
      <c r="C209" s="24"/>
      <c r="D209" s="24"/>
      <c r="E209" s="24"/>
      <c r="F209" s="25"/>
      <c r="G209" s="214" t="s">
        <v>4</v>
      </c>
      <c r="H209" s="7"/>
      <c r="I209" s="148">
        <v>600</v>
      </c>
      <c r="J209" s="1">
        <v>0</v>
      </c>
      <c r="K209" s="1"/>
      <c r="L209" s="131">
        <f>K209+J209</f>
        <v>0</v>
      </c>
      <c r="M209" s="131"/>
      <c r="N209" s="131"/>
      <c r="O209" s="175"/>
      <c r="P209" s="169"/>
    </row>
    <row r="210" spans="1:16" s="70" customFormat="1" ht="86.25" customHeight="1">
      <c r="A210" s="67"/>
      <c r="B210" s="68"/>
      <c r="C210" s="68"/>
      <c r="D210" s="68"/>
      <c r="E210" s="68"/>
      <c r="F210" s="69"/>
      <c r="G210" s="214" t="s">
        <v>557</v>
      </c>
      <c r="H210" s="7" t="s">
        <v>509</v>
      </c>
      <c r="I210" s="148"/>
      <c r="J210" s="1">
        <f>J211</f>
        <v>57807486</v>
      </c>
      <c r="K210" s="1">
        <f>K211</f>
        <v>0</v>
      </c>
      <c r="L210" s="131">
        <f>L211</f>
        <v>57807486</v>
      </c>
      <c r="M210" s="131">
        <f>M211</f>
        <v>0</v>
      </c>
      <c r="N210" s="131">
        <f>N211</f>
        <v>67263085</v>
      </c>
      <c r="O210" s="175"/>
      <c r="P210" s="169"/>
    </row>
    <row r="211" spans="1:16" s="70" customFormat="1" ht="38.25" customHeight="1">
      <c r="A211" s="67"/>
      <c r="B211" s="68"/>
      <c r="C211" s="68"/>
      <c r="D211" s="68"/>
      <c r="E211" s="68"/>
      <c r="F211" s="69"/>
      <c r="G211" s="214" t="s">
        <v>4</v>
      </c>
      <c r="H211" s="7"/>
      <c r="I211" s="148">
        <v>600</v>
      </c>
      <c r="J211" s="1">
        <v>57807486</v>
      </c>
      <c r="K211" s="1">
        <v>0</v>
      </c>
      <c r="L211" s="131">
        <f>K211+J211</f>
        <v>57807486</v>
      </c>
      <c r="M211" s="131"/>
      <c r="N211" s="131">
        <f>66408546+854539</f>
        <v>67263085</v>
      </c>
      <c r="O211" s="175"/>
      <c r="P211" s="169"/>
    </row>
    <row r="212" spans="1:16" s="70" customFormat="1" ht="38.25" customHeight="1" hidden="1">
      <c r="A212" s="67"/>
      <c r="B212" s="136"/>
      <c r="C212" s="136"/>
      <c r="D212" s="136"/>
      <c r="E212" s="136"/>
      <c r="F212" s="137"/>
      <c r="G212" s="212" t="s">
        <v>610</v>
      </c>
      <c r="H212" s="147" t="s">
        <v>609</v>
      </c>
      <c r="I212" s="148"/>
      <c r="J212" s="1">
        <f aca="true" t="shared" si="0" ref="J212:L213">J213</f>
        <v>0</v>
      </c>
      <c r="K212" s="1">
        <f t="shared" si="0"/>
        <v>0</v>
      </c>
      <c r="L212" s="131">
        <f t="shared" si="0"/>
        <v>0</v>
      </c>
      <c r="M212" s="131"/>
      <c r="N212" s="131"/>
      <c r="O212" s="175"/>
      <c r="P212" s="169"/>
    </row>
    <row r="213" spans="1:16" s="70" customFormat="1" ht="52.5" customHeight="1" hidden="1">
      <c r="A213" s="67"/>
      <c r="B213" s="136"/>
      <c r="C213" s="136"/>
      <c r="D213" s="136"/>
      <c r="E213" s="136"/>
      <c r="F213" s="137"/>
      <c r="G213" s="214" t="s">
        <v>594</v>
      </c>
      <c r="H213" s="7" t="s">
        <v>605</v>
      </c>
      <c r="I213" s="148"/>
      <c r="J213" s="1">
        <f t="shared" si="0"/>
        <v>0</v>
      </c>
      <c r="K213" s="1">
        <f t="shared" si="0"/>
        <v>0</v>
      </c>
      <c r="L213" s="131">
        <f t="shared" si="0"/>
        <v>0</v>
      </c>
      <c r="M213" s="131"/>
      <c r="N213" s="131"/>
      <c r="O213" s="175"/>
      <c r="P213" s="169"/>
    </row>
    <row r="214" spans="1:16" s="70" customFormat="1" ht="39.75" customHeight="1" hidden="1">
      <c r="A214" s="67"/>
      <c r="B214" s="136"/>
      <c r="C214" s="136"/>
      <c r="D214" s="136"/>
      <c r="E214" s="136"/>
      <c r="F214" s="137"/>
      <c r="G214" s="214" t="s">
        <v>4</v>
      </c>
      <c r="H214" s="7"/>
      <c r="I214" s="148">
        <v>600</v>
      </c>
      <c r="J214" s="1"/>
      <c r="K214" s="1"/>
      <c r="L214" s="131">
        <f>K214+J214</f>
        <v>0</v>
      </c>
      <c r="M214" s="131"/>
      <c r="N214" s="131"/>
      <c r="O214" s="175"/>
      <c r="P214" s="169"/>
    </row>
    <row r="215" spans="1:16" ht="52.5" customHeight="1">
      <c r="A215" s="8"/>
      <c r="B215" s="24"/>
      <c r="C215" s="24"/>
      <c r="D215" s="24"/>
      <c r="E215" s="24"/>
      <c r="F215" s="25"/>
      <c r="G215" s="218" t="s">
        <v>804</v>
      </c>
      <c r="H215" s="4" t="s">
        <v>341</v>
      </c>
      <c r="I215" s="148" t="s">
        <v>0</v>
      </c>
      <c r="J215" s="1">
        <f>J216+J219</f>
        <v>173000</v>
      </c>
      <c r="K215" s="1">
        <f>K216+K219</f>
        <v>0</v>
      </c>
      <c r="L215" s="131">
        <f>L216+L219</f>
        <v>173000</v>
      </c>
      <c r="M215" s="131">
        <f>M216+M219</f>
        <v>0</v>
      </c>
      <c r="N215" s="131">
        <f>N216+N219</f>
        <v>253000</v>
      </c>
      <c r="O215" s="175"/>
      <c r="P215" s="169"/>
    </row>
    <row r="216" spans="1:16" ht="36" customHeight="1">
      <c r="A216" s="8"/>
      <c r="B216" s="24"/>
      <c r="C216" s="24"/>
      <c r="D216" s="24"/>
      <c r="E216" s="24"/>
      <c r="F216" s="25"/>
      <c r="G216" s="212" t="s">
        <v>510</v>
      </c>
      <c r="H216" s="147" t="s">
        <v>342</v>
      </c>
      <c r="I216" s="148"/>
      <c r="J216" s="1">
        <f>J217</f>
        <v>173000</v>
      </c>
      <c r="K216" s="1">
        <f>K217</f>
        <v>0</v>
      </c>
      <c r="L216" s="131">
        <f>K216+J216</f>
        <v>173000</v>
      </c>
      <c r="M216" s="131">
        <f>M217</f>
        <v>0</v>
      </c>
      <c r="N216" s="131">
        <f>N217</f>
        <v>253000</v>
      </c>
      <c r="O216" s="175"/>
      <c r="P216" s="169"/>
    </row>
    <row r="217" spans="1:16" ht="51" customHeight="1">
      <c r="A217" s="8"/>
      <c r="B217" s="260">
        <v>500</v>
      </c>
      <c r="C217" s="260"/>
      <c r="D217" s="260"/>
      <c r="E217" s="260"/>
      <c r="F217" s="261"/>
      <c r="G217" s="222" t="s">
        <v>807</v>
      </c>
      <c r="H217" s="7" t="s">
        <v>343</v>
      </c>
      <c r="I217" s="148"/>
      <c r="J217" s="1">
        <f>J218</f>
        <v>173000</v>
      </c>
      <c r="K217" s="1">
        <f>K218</f>
        <v>0</v>
      </c>
      <c r="L217" s="131">
        <f>L218</f>
        <v>173000</v>
      </c>
      <c r="M217" s="131">
        <f>M218</f>
        <v>0</v>
      </c>
      <c r="N217" s="131">
        <f>N218</f>
        <v>253000</v>
      </c>
      <c r="O217" s="175"/>
      <c r="P217" s="169"/>
    </row>
    <row r="218" spans="1:16" ht="38.25" customHeight="1">
      <c r="A218" s="8"/>
      <c r="B218" s="299" t="s">
        <v>60</v>
      </c>
      <c r="C218" s="299"/>
      <c r="D218" s="299"/>
      <c r="E218" s="299"/>
      <c r="F218" s="292"/>
      <c r="G218" s="214" t="s">
        <v>4</v>
      </c>
      <c r="H218" s="186"/>
      <c r="I218" s="148">
        <v>600</v>
      </c>
      <c r="J218" s="1">
        <v>173000</v>
      </c>
      <c r="K218" s="1"/>
      <c r="L218" s="131">
        <f>K218+J218</f>
        <v>173000</v>
      </c>
      <c r="M218" s="131"/>
      <c r="N218" s="131">
        <v>253000</v>
      </c>
      <c r="O218" s="175"/>
      <c r="P218" s="169"/>
    </row>
    <row r="219" spans="1:16" ht="36" customHeight="1" hidden="1">
      <c r="A219" s="8"/>
      <c r="B219" s="16"/>
      <c r="C219" s="16"/>
      <c r="D219" s="16"/>
      <c r="E219" s="16"/>
      <c r="F219" s="17"/>
      <c r="G219" s="212" t="s">
        <v>346</v>
      </c>
      <c r="H219" s="147" t="s">
        <v>344</v>
      </c>
      <c r="I219" s="148"/>
      <c r="J219" s="1">
        <f>J220</f>
        <v>0</v>
      </c>
      <c r="K219" s="1"/>
      <c r="L219" s="131"/>
      <c r="M219" s="131"/>
      <c r="N219" s="131"/>
      <c r="O219" s="175"/>
      <c r="P219" s="169"/>
    </row>
    <row r="220" spans="1:16" ht="34.5" customHeight="1" hidden="1">
      <c r="A220" s="8"/>
      <c r="B220" s="16"/>
      <c r="C220" s="16"/>
      <c r="D220" s="16"/>
      <c r="E220" s="16"/>
      <c r="F220" s="17"/>
      <c r="G220" s="214" t="s">
        <v>134</v>
      </c>
      <c r="H220" s="7" t="s">
        <v>345</v>
      </c>
      <c r="I220" s="148"/>
      <c r="J220" s="1">
        <f>J221</f>
        <v>0</v>
      </c>
      <c r="K220" s="1"/>
      <c r="L220" s="131"/>
      <c r="M220" s="131"/>
      <c r="N220" s="131"/>
      <c r="O220" s="176"/>
      <c r="P220" s="169"/>
    </row>
    <row r="221" spans="1:16" ht="34.5" customHeight="1" hidden="1">
      <c r="A221" s="8"/>
      <c r="B221" s="16"/>
      <c r="C221" s="16"/>
      <c r="D221" s="16"/>
      <c r="E221" s="16"/>
      <c r="F221" s="17"/>
      <c r="G221" s="214" t="s">
        <v>4</v>
      </c>
      <c r="H221" s="186"/>
      <c r="I221" s="148">
        <v>600</v>
      </c>
      <c r="J221" s="1"/>
      <c r="K221" s="1"/>
      <c r="L221" s="131"/>
      <c r="M221" s="131"/>
      <c r="N221" s="131"/>
      <c r="O221" s="176"/>
      <c r="P221" s="169"/>
    </row>
    <row r="222" spans="1:16" ht="63" hidden="1">
      <c r="A222" s="8"/>
      <c r="B222" s="252" t="s">
        <v>63</v>
      </c>
      <c r="C222" s="252"/>
      <c r="D222" s="252"/>
      <c r="E222" s="252"/>
      <c r="F222" s="253"/>
      <c r="G222" s="214" t="s">
        <v>150</v>
      </c>
      <c r="H222" s="121" t="s">
        <v>233</v>
      </c>
      <c r="I222" s="148"/>
      <c r="J222" s="1">
        <f>J223</f>
        <v>1250000</v>
      </c>
      <c r="K222" s="1"/>
      <c r="L222" s="131"/>
      <c r="M222" s="131"/>
      <c r="N222" s="131"/>
      <c r="O222" s="175"/>
      <c r="P222" s="169"/>
    </row>
    <row r="223" spans="1:16" ht="22.5" customHeight="1" hidden="1">
      <c r="A223" s="8"/>
      <c r="B223" s="260">
        <v>500</v>
      </c>
      <c r="C223" s="260"/>
      <c r="D223" s="260"/>
      <c r="E223" s="260"/>
      <c r="F223" s="261"/>
      <c r="G223" s="214" t="s">
        <v>5</v>
      </c>
      <c r="H223" s="7"/>
      <c r="I223" s="148">
        <v>300</v>
      </c>
      <c r="J223" s="1">
        <v>1250000</v>
      </c>
      <c r="K223" s="1"/>
      <c r="L223" s="131"/>
      <c r="M223" s="131"/>
      <c r="N223" s="131"/>
      <c r="O223" s="175"/>
      <c r="P223" s="169"/>
    </row>
    <row r="224" spans="1:16" ht="34.5" customHeight="1" hidden="1">
      <c r="A224" s="8"/>
      <c r="B224" s="16"/>
      <c r="C224" s="16"/>
      <c r="D224" s="16"/>
      <c r="E224" s="16"/>
      <c r="F224" s="17"/>
      <c r="G224" s="214" t="s">
        <v>139</v>
      </c>
      <c r="H224" s="7" t="s">
        <v>58</v>
      </c>
      <c r="I224" s="148" t="s">
        <v>0</v>
      </c>
      <c r="J224" s="1">
        <f>J225</f>
        <v>50000</v>
      </c>
      <c r="K224" s="1"/>
      <c r="L224" s="131"/>
      <c r="M224" s="131"/>
      <c r="N224" s="131"/>
      <c r="O224" s="176"/>
      <c r="P224" s="169"/>
    </row>
    <row r="225" spans="1:16" ht="34.5" customHeight="1" hidden="1">
      <c r="A225" s="8"/>
      <c r="B225" s="16"/>
      <c r="C225" s="16"/>
      <c r="D225" s="16"/>
      <c r="E225" s="16"/>
      <c r="F225" s="17"/>
      <c r="G225" s="214" t="s">
        <v>4</v>
      </c>
      <c r="H225" s="7" t="s">
        <v>0</v>
      </c>
      <c r="I225" s="148">
        <v>600</v>
      </c>
      <c r="J225" s="1">
        <v>50000</v>
      </c>
      <c r="K225" s="1"/>
      <c r="L225" s="131"/>
      <c r="M225" s="131"/>
      <c r="N225" s="131"/>
      <c r="O225" s="176"/>
      <c r="P225" s="169"/>
    </row>
    <row r="226" spans="1:16" ht="33" customHeight="1" hidden="1">
      <c r="A226" s="8"/>
      <c r="B226" s="252" t="s">
        <v>59</v>
      </c>
      <c r="C226" s="252"/>
      <c r="D226" s="252"/>
      <c r="E226" s="252"/>
      <c r="F226" s="253"/>
      <c r="G226" s="214" t="s">
        <v>138</v>
      </c>
      <c r="H226" s="7" t="s">
        <v>57</v>
      </c>
      <c r="I226" s="148" t="s">
        <v>0</v>
      </c>
      <c r="J226" s="1">
        <f>J227</f>
        <v>0</v>
      </c>
      <c r="K226" s="1"/>
      <c r="L226" s="131"/>
      <c r="M226" s="131"/>
      <c r="N226" s="131"/>
      <c r="O226" s="175"/>
      <c r="P226" s="169"/>
    </row>
    <row r="227" spans="1:16" ht="19.5" customHeight="1" hidden="1">
      <c r="A227" s="8"/>
      <c r="B227" s="260">
        <v>500</v>
      </c>
      <c r="C227" s="260"/>
      <c r="D227" s="260"/>
      <c r="E227" s="260"/>
      <c r="F227" s="261"/>
      <c r="G227" s="214" t="s">
        <v>4</v>
      </c>
      <c r="H227" s="7" t="s">
        <v>0</v>
      </c>
      <c r="I227" s="148">
        <v>600</v>
      </c>
      <c r="J227" s="1"/>
      <c r="K227" s="1"/>
      <c r="L227" s="131"/>
      <c r="M227" s="131"/>
      <c r="N227" s="131"/>
      <c r="O227" s="175"/>
      <c r="P227" s="169"/>
    </row>
    <row r="228" spans="1:16" ht="49.5" customHeight="1" hidden="1">
      <c r="A228" s="8"/>
      <c r="B228" s="24"/>
      <c r="C228" s="24"/>
      <c r="D228" s="24"/>
      <c r="E228" s="24"/>
      <c r="F228" s="25"/>
      <c r="G228" s="218" t="s">
        <v>534</v>
      </c>
      <c r="H228" s="4" t="s">
        <v>347</v>
      </c>
      <c r="I228" s="148"/>
      <c r="J228" s="1">
        <f>J229</f>
        <v>0</v>
      </c>
      <c r="K228" s="1"/>
      <c r="L228" s="131"/>
      <c r="M228" s="131"/>
      <c r="N228" s="131"/>
      <c r="O228" s="175"/>
      <c r="P228" s="169"/>
    </row>
    <row r="229" spans="1:16" ht="49.5" customHeight="1" hidden="1">
      <c r="A229" s="8"/>
      <c r="B229" s="24"/>
      <c r="C229" s="24"/>
      <c r="D229" s="24"/>
      <c r="E229" s="24"/>
      <c r="F229" s="25"/>
      <c r="G229" s="212" t="s">
        <v>349</v>
      </c>
      <c r="H229" s="147" t="s">
        <v>348</v>
      </c>
      <c r="I229" s="148"/>
      <c r="J229" s="1">
        <f>J230</f>
        <v>0</v>
      </c>
      <c r="K229" s="1"/>
      <c r="L229" s="131"/>
      <c r="M229" s="131"/>
      <c r="N229" s="131"/>
      <c r="O229" s="175"/>
      <c r="P229" s="169"/>
    </row>
    <row r="230" spans="1:16" ht="45.75" customHeight="1" hidden="1">
      <c r="A230" s="8"/>
      <c r="B230" s="24"/>
      <c r="C230" s="24"/>
      <c r="D230" s="24"/>
      <c r="E230" s="24"/>
      <c r="F230" s="25"/>
      <c r="G230" s="214" t="s">
        <v>535</v>
      </c>
      <c r="H230" s="7" t="s">
        <v>350</v>
      </c>
      <c r="I230" s="148"/>
      <c r="J230" s="1">
        <f>J231+J241</f>
        <v>0</v>
      </c>
      <c r="K230" s="1"/>
      <c r="L230" s="131"/>
      <c r="M230" s="131"/>
      <c r="N230" s="131"/>
      <c r="O230" s="175"/>
      <c r="P230" s="169"/>
    </row>
    <row r="231" spans="1:16" ht="31.5" hidden="1">
      <c r="A231" s="8"/>
      <c r="B231" s="24"/>
      <c r="C231" s="24"/>
      <c r="D231" s="24"/>
      <c r="E231" s="24"/>
      <c r="F231" s="25"/>
      <c r="G231" s="214" t="s">
        <v>2</v>
      </c>
      <c r="H231" s="7"/>
      <c r="I231" s="148">
        <v>200</v>
      </c>
      <c r="J231" s="1">
        <v>0</v>
      </c>
      <c r="K231" s="1"/>
      <c r="L231" s="131"/>
      <c r="M231" s="131"/>
      <c r="N231" s="131"/>
      <c r="O231" s="175"/>
      <c r="P231" s="169"/>
    </row>
    <row r="232" spans="1:16" s="54" customFormat="1" ht="31.5" hidden="1">
      <c r="A232" s="51"/>
      <c r="B232" s="52"/>
      <c r="C232" s="52"/>
      <c r="D232" s="52"/>
      <c r="E232" s="52"/>
      <c r="F232" s="53"/>
      <c r="G232" s="218" t="s">
        <v>306</v>
      </c>
      <c r="H232" s="7" t="s">
        <v>56</v>
      </c>
      <c r="I232" s="148"/>
      <c r="J232" s="5">
        <f>J233</f>
        <v>0</v>
      </c>
      <c r="K232" s="1"/>
      <c r="L232" s="131"/>
      <c r="M232" s="131"/>
      <c r="N232" s="131"/>
      <c r="O232" s="175"/>
      <c r="P232" s="169"/>
    </row>
    <row r="233" spans="1:16" s="54" customFormat="1" ht="47.25" hidden="1">
      <c r="A233" s="51"/>
      <c r="B233" s="52"/>
      <c r="C233" s="52"/>
      <c r="D233" s="52"/>
      <c r="E233" s="52"/>
      <c r="F233" s="53"/>
      <c r="G233" s="214" t="s">
        <v>307</v>
      </c>
      <c r="H233" s="7" t="s">
        <v>111</v>
      </c>
      <c r="I233" s="148"/>
      <c r="J233" s="1">
        <f>J238</f>
        <v>0</v>
      </c>
      <c r="K233" s="1"/>
      <c r="L233" s="131"/>
      <c r="M233" s="131"/>
      <c r="N233" s="131"/>
      <c r="O233" s="175"/>
      <c r="P233" s="169"/>
    </row>
    <row r="234" spans="1:16" ht="44.25" customHeight="1" hidden="1">
      <c r="A234" s="8"/>
      <c r="B234" s="24"/>
      <c r="C234" s="24"/>
      <c r="D234" s="24"/>
      <c r="E234" s="24"/>
      <c r="F234" s="25"/>
      <c r="G234" s="214" t="s">
        <v>288</v>
      </c>
      <c r="H234" s="190" t="s">
        <v>287</v>
      </c>
      <c r="I234" s="148"/>
      <c r="J234" s="1">
        <f>J235</f>
        <v>481000</v>
      </c>
      <c r="K234" s="1"/>
      <c r="L234" s="131"/>
      <c r="M234" s="131"/>
      <c r="N234" s="131"/>
      <c r="O234" s="175"/>
      <c r="P234" s="169"/>
    </row>
    <row r="235" spans="1:16" ht="60.75" customHeight="1" hidden="1">
      <c r="A235" s="8"/>
      <c r="B235" s="24"/>
      <c r="C235" s="24"/>
      <c r="D235" s="24"/>
      <c r="E235" s="24"/>
      <c r="F235" s="25"/>
      <c r="G235" s="214" t="s">
        <v>4</v>
      </c>
      <c r="H235" s="190"/>
      <c r="I235" s="148">
        <v>600</v>
      </c>
      <c r="J235" s="1">
        <v>481000</v>
      </c>
      <c r="K235" s="1"/>
      <c r="L235" s="131"/>
      <c r="M235" s="131"/>
      <c r="N235" s="131"/>
      <c r="O235" s="175"/>
      <c r="P235" s="169"/>
    </row>
    <row r="236" spans="1:16" ht="47.25" hidden="1">
      <c r="A236" s="8"/>
      <c r="B236" s="24"/>
      <c r="C236" s="24"/>
      <c r="D236" s="24"/>
      <c r="E236" s="24"/>
      <c r="F236" s="25"/>
      <c r="G236" s="214" t="s">
        <v>273</v>
      </c>
      <c r="H236" s="121" t="s">
        <v>123</v>
      </c>
      <c r="I236" s="148"/>
      <c r="J236" s="1">
        <f>J237</f>
        <v>18300</v>
      </c>
      <c r="K236" s="1"/>
      <c r="L236" s="131"/>
      <c r="M236" s="131"/>
      <c r="N236" s="131"/>
      <c r="O236" s="175"/>
      <c r="P236" s="169"/>
    </row>
    <row r="237" spans="1:16" ht="44.25" customHeight="1" hidden="1">
      <c r="A237" s="8"/>
      <c r="B237" s="24"/>
      <c r="C237" s="24"/>
      <c r="D237" s="24"/>
      <c r="E237" s="24"/>
      <c r="F237" s="25"/>
      <c r="G237" s="214" t="s">
        <v>4</v>
      </c>
      <c r="H237" s="7"/>
      <c r="I237" s="148">
        <v>600</v>
      </c>
      <c r="J237" s="1">
        <v>18300</v>
      </c>
      <c r="K237" s="1"/>
      <c r="L237" s="131"/>
      <c r="M237" s="131"/>
      <c r="N237" s="131"/>
      <c r="O237" s="175"/>
      <c r="P237" s="169"/>
    </row>
    <row r="238" spans="1:16" s="54" customFormat="1" ht="51.75" customHeight="1" hidden="1">
      <c r="A238" s="51"/>
      <c r="B238" s="52"/>
      <c r="C238" s="52"/>
      <c r="D238" s="52"/>
      <c r="E238" s="52"/>
      <c r="F238" s="53"/>
      <c r="G238" s="214" t="s">
        <v>292</v>
      </c>
      <c r="H238" s="121" t="s">
        <v>291</v>
      </c>
      <c r="I238" s="148"/>
      <c r="J238" s="1">
        <f>J239</f>
        <v>0</v>
      </c>
      <c r="K238" s="1"/>
      <c r="L238" s="131"/>
      <c r="M238" s="131"/>
      <c r="N238" s="131"/>
      <c r="O238" s="175"/>
      <c r="P238" s="169"/>
    </row>
    <row r="239" spans="1:16" s="54" customFormat="1" ht="53.25" customHeight="1" hidden="1">
      <c r="A239" s="51"/>
      <c r="B239" s="52"/>
      <c r="C239" s="52"/>
      <c r="D239" s="52"/>
      <c r="E239" s="52"/>
      <c r="F239" s="53"/>
      <c r="G239" s="214" t="s">
        <v>4</v>
      </c>
      <c r="H239" s="7"/>
      <c r="I239" s="148">
        <v>600</v>
      </c>
      <c r="J239" s="1">
        <v>0</v>
      </c>
      <c r="K239" s="1"/>
      <c r="L239" s="131"/>
      <c r="M239" s="131"/>
      <c r="N239" s="131"/>
      <c r="O239" s="175"/>
      <c r="P239" s="169"/>
    </row>
    <row r="240" spans="1:16" ht="47.25" customHeight="1" hidden="1">
      <c r="A240" s="8"/>
      <c r="B240" s="24"/>
      <c r="C240" s="24"/>
      <c r="D240" s="24"/>
      <c r="E240" s="24"/>
      <c r="F240" s="25"/>
      <c r="G240" s="214" t="s">
        <v>290</v>
      </c>
      <c r="H240" s="121" t="s">
        <v>289</v>
      </c>
      <c r="I240" s="148"/>
      <c r="J240" s="1">
        <f>J241</f>
        <v>0</v>
      </c>
      <c r="K240" s="1"/>
      <c r="L240" s="131"/>
      <c r="M240" s="131"/>
      <c r="N240" s="131"/>
      <c r="O240" s="175"/>
      <c r="P240" s="169"/>
    </row>
    <row r="241" spans="1:16" ht="30.75" customHeight="1" hidden="1">
      <c r="A241" s="8"/>
      <c r="B241" s="24"/>
      <c r="C241" s="24"/>
      <c r="D241" s="24"/>
      <c r="E241" s="24"/>
      <c r="F241" s="25"/>
      <c r="G241" s="214" t="s">
        <v>4</v>
      </c>
      <c r="H241" s="7"/>
      <c r="I241" s="148">
        <v>600</v>
      </c>
      <c r="J241" s="1">
        <v>0</v>
      </c>
      <c r="K241" s="1"/>
      <c r="L241" s="131"/>
      <c r="M241" s="131"/>
      <c r="N241" s="131"/>
      <c r="O241" s="175"/>
      <c r="P241" s="169"/>
    </row>
    <row r="242" spans="1:16" ht="37.5" customHeight="1" hidden="1">
      <c r="A242" s="8"/>
      <c r="B242" s="24"/>
      <c r="C242" s="24"/>
      <c r="D242" s="24"/>
      <c r="E242" s="24"/>
      <c r="F242" s="25"/>
      <c r="G242" s="218" t="s">
        <v>730</v>
      </c>
      <c r="H242" s="4" t="s">
        <v>347</v>
      </c>
      <c r="I242" s="148"/>
      <c r="J242" s="5">
        <f>J243</f>
        <v>10000</v>
      </c>
      <c r="K242" s="1"/>
      <c r="L242" s="131"/>
      <c r="M242" s="131">
        <f aca="true" t="shared" si="1" ref="M242:N244">M243</f>
        <v>0</v>
      </c>
      <c r="N242" s="131">
        <f t="shared" si="1"/>
        <v>0</v>
      </c>
      <c r="O242" s="175"/>
      <c r="P242" s="169"/>
    </row>
    <row r="243" spans="1:16" ht="51.75" customHeight="1" hidden="1">
      <c r="A243" s="8"/>
      <c r="B243" s="24"/>
      <c r="C243" s="24"/>
      <c r="D243" s="24"/>
      <c r="E243" s="24"/>
      <c r="F243" s="25"/>
      <c r="G243" s="212" t="s">
        <v>349</v>
      </c>
      <c r="H243" s="147" t="s">
        <v>348</v>
      </c>
      <c r="I243" s="148"/>
      <c r="J243" s="1">
        <f>J244</f>
        <v>10000</v>
      </c>
      <c r="K243" s="1"/>
      <c r="L243" s="131"/>
      <c r="M243" s="131">
        <f t="shared" si="1"/>
        <v>0</v>
      </c>
      <c r="N243" s="131">
        <f t="shared" si="1"/>
        <v>0</v>
      </c>
      <c r="O243" s="175"/>
      <c r="P243" s="169"/>
    </row>
    <row r="244" spans="1:16" ht="52.5" customHeight="1" hidden="1">
      <c r="A244" s="8"/>
      <c r="B244" s="24"/>
      <c r="C244" s="24"/>
      <c r="D244" s="24"/>
      <c r="E244" s="24"/>
      <c r="F244" s="25"/>
      <c r="G244" s="214" t="s">
        <v>731</v>
      </c>
      <c r="H244" s="7" t="s">
        <v>350</v>
      </c>
      <c r="I244" s="148"/>
      <c r="J244" s="1">
        <f>J245</f>
        <v>10000</v>
      </c>
      <c r="K244" s="1"/>
      <c r="L244" s="131"/>
      <c r="M244" s="131">
        <f t="shared" si="1"/>
        <v>0</v>
      </c>
      <c r="N244" s="131">
        <f t="shared" si="1"/>
        <v>0</v>
      </c>
      <c r="O244" s="175"/>
      <c r="P244" s="169"/>
    </row>
    <row r="245" spans="1:16" ht="0.75" customHeight="1" hidden="1">
      <c r="A245" s="8"/>
      <c r="B245" s="24"/>
      <c r="C245" s="24"/>
      <c r="D245" s="24"/>
      <c r="E245" s="24"/>
      <c r="F245" s="25"/>
      <c r="G245" s="223" t="s">
        <v>2</v>
      </c>
      <c r="H245" s="147"/>
      <c r="I245" s="148">
        <v>200</v>
      </c>
      <c r="J245" s="1">
        <v>10000</v>
      </c>
      <c r="K245" s="1"/>
      <c r="L245" s="131"/>
      <c r="M245" s="131"/>
      <c r="N245" s="131"/>
      <c r="O245" s="175"/>
      <c r="P245" s="169"/>
    </row>
    <row r="246" spans="1:16" ht="52.5" customHeight="1">
      <c r="A246" s="8"/>
      <c r="B246" s="24"/>
      <c r="C246" s="24"/>
      <c r="D246" s="24"/>
      <c r="E246" s="24"/>
      <c r="F246" s="25"/>
      <c r="G246" s="231" t="s">
        <v>805</v>
      </c>
      <c r="H246" s="4" t="s">
        <v>347</v>
      </c>
      <c r="I246" s="148"/>
      <c r="J246" s="1"/>
      <c r="K246" s="1"/>
      <c r="L246" s="131"/>
      <c r="M246" s="131"/>
      <c r="N246" s="131">
        <f>N247</f>
        <v>50000</v>
      </c>
      <c r="O246" s="175"/>
      <c r="P246" s="169"/>
    </row>
    <row r="247" spans="1:16" ht="57" customHeight="1">
      <c r="A247" s="8"/>
      <c r="B247" s="24"/>
      <c r="C247" s="24"/>
      <c r="D247" s="24"/>
      <c r="E247" s="24"/>
      <c r="F247" s="25"/>
      <c r="G247" s="212" t="s">
        <v>349</v>
      </c>
      <c r="H247" s="211" t="s">
        <v>348</v>
      </c>
      <c r="I247" s="148"/>
      <c r="J247" s="1"/>
      <c r="K247" s="1"/>
      <c r="L247" s="131"/>
      <c r="M247" s="131"/>
      <c r="N247" s="131">
        <f>N248</f>
        <v>50000</v>
      </c>
      <c r="O247" s="175"/>
      <c r="P247" s="169"/>
    </row>
    <row r="248" spans="1:16" ht="53.25" customHeight="1">
      <c r="A248" s="8"/>
      <c r="B248" s="24"/>
      <c r="C248" s="24"/>
      <c r="D248" s="24"/>
      <c r="E248" s="24"/>
      <c r="F248" s="25"/>
      <c r="G248" s="214" t="s">
        <v>806</v>
      </c>
      <c r="H248" s="213" t="s">
        <v>350</v>
      </c>
      <c r="I248" s="148"/>
      <c r="J248" s="1"/>
      <c r="K248" s="1"/>
      <c r="L248" s="131"/>
      <c r="M248" s="131"/>
      <c r="N248" s="131">
        <f>N249</f>
        <v>50000</v>
      </c>
      <c r="O248" s="175"/>
      <c r="P248" s="169"/>
    </row>
    <row r="249" spans="1:16" ht="23.25" customHeight="1">
      <c r="A249" s="8"/>
      <c r="B249" s="24"/>
      <c r="C249" s="24"/>
      <c r="D249" s="24"/>
      <c r="E249" s="24"/>
      <c r="F249" s="25"/>
      <c r="G249" s="214" t="s">
        <v>2</v>
      </c>
      <c r="H249" s="147"/>
      <c r="I249" s="148">
        <v>200</v>
      </c>
      <c r="J249" s="1"/>
      <c r="K249" s="1"/>
      <c r="L249" s="131"/>
      <c r="M249" s="131"/>
      <c r="N249" s="131">
        <v>50000</v>
      </c>
      <c r="O249" s="175"/>
      <c r="P249" s="169"/>
    </row>
    <row r="250" spans="1:16" ht="72.75" customHeight="1">
      <c r="A250" s="8"/>
      <c r="B250" s="24"/>
      <c r="C250" s="24"/>
      <c r="D250" s="24"/>
      <c r="E250" s="24"/>
      <c r="F250" s="25"/>
      <c r="G250" s="218" t="s">
        <v>808</v>
      </c>
      <c r="H250" s="4" t="s">
        <v>577</v>
      </c>
      <c r="I250" s="148"/>
      <c r="J250" s="5">
        <f>J251</f>
        <v>637500</v>
      </c>
      <c r="K250" s="5">
        <f>K251</f>
        <v>0</v>
      </c>
      <c r="L250" s="133">
        <f>L251</f>
        <v>637500</v>
      </c>
      <c r="M250" s="133">
        <f>M251</f>
        <v>0</v>
      </c>
      <c r="N250" s="133">
        <f>N251</f>
        <v>1576500</v>
      </c>
      <c r="O250" s="175"/>
      <c r="P250" s="167"/>
    </row>
    <row r="251" spans="1:16" ht="94.5" customHeight="1">
      <c r="A251" s="8"/>
      <c r="B251" s="24"/>
      <c r="C251" s="24"/>
      <c r="D251" s="24"/>
      <c r="E251" s="24"/>
      <c r="F251" s="25"/>
      <c r="G251" s="214" t="s">
        <v>809</v>
      </c>
      <c r="H251" s="7" t="s">
        <v>578</v>
      </c>
      <c r="I251" s="148"/>
      <c r="J251" s="1">
        <f>J252+J255</f>
        <v>637500</v>
      </c>
      <c r="K251" s="1">
        <f>K252+K255</f>
        <v>0</v>
      </c>
      <c r="L251" s="131">
        <f>L252+L255</f>
        <v>637500</v>
      </c>
      <c r="M251" s="131">
        <f>M252+M255</f>
        <v>0</v>
      </c>
      <c r="N251" s="131">
        <f>N252+N255</f>
        <v>1576500</v>
      </c>
      <c r="O251" s="175"/>
      <c r="P251" s="169"/>
    </row>
    <row r="252" spans="1:16" ht="81.75" customHeight="1">
      <c r="A252" s="8"/>
      <c r="B252" s="24"/>
      <c r="C252" s="24"/>
      <c r="D252" s="24"/>
      <c r="E252" s="24"/>
      <c r="F252" s="25"/>
      <c r="G252" s="212" t="s">
        <v>760</v>
      </c>
      <c r="H252" s="147" t="s">
        <v>579</v>
      </c>
      <c r="I252" s="148"/>
      <c r="J252" s="149">
        <f aca="true" t="shared" si="2" ref="J252:L253">J253</f>
        <v>0</v>
      </c>
      <c r="K252" s="149">
        <f t="shared" si="2"/>
        <v>0</v>
      </c>
      <c r="L252" s="132">
        <f t="shared" si="2"/>
        <v>0</v>
      </c>
      <c r="M252" s="132"/>
      <c r="N252" s="132">
        <f>N253</f>
        <v>1090000</v>
      </c>
      <c r="O252" s="175"/>
      <c r="P252" s="170"/>
    </row>
    <row r="253" spans="1:16" ht="81" customHeight="1">
      <c r="A253" s="8"/>
      <c r="B253" s="24"/>
      <c r="C253" s="24"/>
      <c r="D253" s="24"/>
      <c r="E253" s="24"/>
      <c r="F253" s="25"/>
      <c r="G253" s="214" t="s">
        <v>810</v>
      </c>
      <c r="H253" s="7" t="s">
        <v>704</v>
      </c>
      <c r="I253" s="148"/>
      <c r="J253" s="1">
        <f t="shared" si="2"/>
        <v>0</v>
      </c>
      <c r="K253" s="1">
        <f t="shared" si="2"/>
        <v>0</v>
      </c>
      <c r="L253" s="131">
        <f t="shared" si="2"/>
        <v>0</v>
      </c>
      <c r="M253" s="131"/>
      <c r="N253" s="131">
        <f>N254</f>
        <v>1090000</v>
      </c>
      <c r="O253" s="175"/>
      <c r="P253" s="169"/>
    </row>
    <row r="254" spans="1:16" ht="36" customHeight="1">
      <c r="A254" s="8"/>
      <c r="B254" s="24"/>
      <c r="C254" s="24"/>
      <c r="D254" s="24"/>
      <c r="E254" s="24"/>
      <c r="F254" s="25"/>
      <c r="G254" s="223" t="s">
        <v>2</v>
      </c>
      <c r="H254" s="7"/>
      <c r="I254" s="148">
        <v>200</v>
      </c>
      <c r="J254" s="1">
        <v>0</v>
      </c>
      <c r="K254" s="1"/>
      <c r="L254" s="131">
        <f>K254+J254</f>
        <v>0</v>
      </c>
      <c r="M254" s="131"/>
      <c r="N254" s="131">
        <v>1090000</v>
      </c>
      <c r="O254" s="175"/>
      <c r="P254" s="169"/>
    </row>
    <row r="255" spans="1:16" ht="51" customHeight="1">
      <c r="A255" s="8"/>
      <c r="B255" s="24"/>
      <c r="C255" s="24"/>
      <c r="D255" s="24"/>
      <c r="E255" s="24"/>
      <c r="F255" s="25"/>
      <c r="G255" s="224" t="s">
        <v>631</v>
      </c>
      <c r="H255" s="147" t="s">
        <v>630</v>
      </c>
      <c r="I255" s="148"/>
      <c r="J255" s="1">
        <f>J256+J258</f>
        <v>637500</v>
      </c>
      <c r="K255" s="1">
        <f>K256+K258</f>
        <v>0</v>
      </c>
      <c r="L255" s="1">
        <f>L256+L258</f>
        <v>637500</v>
      </c>
      <c r="M255" s="1">
        <f>M256+M258</f>
        <v>0</v>
      </c>
      <c r="N255" s="1">
        <f>N256+N258</f>
        <v>486500</v>
      </c>
      <c r="O255" s="175"/>
      <c r="P255" s="129"/>
    </row>
    <row r="256" spans="1:16" ht="53.25" customHeight="1">
      <c r="A256" s="8"/>
      <c r="B256" s="24"/>
      <c r="C256" s="24"/>
      <c r="D256" s="24"/>
      <c r="E256" s="24"/>
      <c r="F256" s="25"/>
      <c r="G256" s="223" t="s">
        <v>703</v>
      </c>
      <c r="H256" s="7" t="s">
        <v>702</v>
      </c>
      <c r="I256" s="148"/>
      <c r="J256" s="1">
        <f>J257</f>
        <v>637500</v>
      </c>
      <c r="K256" s="1">
        <f>K257</f>
        <v>0</v>
      </c>
      <c r="L256" s="131">
        <f>L257</f>
        <v>637500</v>
      </c>
      <c r="M256" s="131">
        <f>M257</f>
        <v>0</v>
      </c>
      <c r="N256" s="131">
        <f>N257</f>
        <v>486500</v>
      </c>
      <c r="O256" s="175"/>
      <c r="P256" s="169"/>
    </row>
    <row r="257" spans="1:16" ht="36" customHeight="1">
      <c r="A257" s="8"/>
      <c r="B257" s="24"/>
      <c r="C257" s="24"/>
      <c r="D257" s="24"/>
      <c r="E257" s="24"/>
      <c r="F257" s="25"/>
      <c r="G257" s="223" t="s">
        <v>2</v>
      </c>
      <c r="H257" s="7"/>
      <c r="I257" s="148">
        <v>200</v>
      </c>
      <c r="J257" s="1">
        <v>637500</v>
      </c>
      <c r="K257" s="1">
        <v>0</v>
      </c>
      <c r="L257" s="131">
        <f>J257+K257</f>
        <v>637500</v>
      </c>
      <c r="M257" s="131"/>
      <c r="N257" s="131">
        <f>200000+286500</f>
        <v>486500</v>
      </c>
      <c r="O257" s="175"/>
      <c r="P257" s="169"/>
    </row>
    <row r="258" spans="1:16" ht="72" customHeight="1" hidden="1">
      <c r="A258" s="8"/>
      <c r="B258" s="24"/>
      <c r="C258" s="24"/>
      <c r="D258" s="24"/>
      <c r="E258" s="24"/>
      <c r="F258" s="25"/>
      <c r="G258" s="223" t="s">
        <v>632</v>
      </c>
      <c r="H258" s="7" t="s">
        <v>633</v>
      </c>
      <c r="I258" s="148"/>
      <c r="J258" s="1">
        <f>J259</f>
        <v>0</v>
      </c>
      <c r="K258" s="1">
        <f>K259</f>
        <v>0</v>
      </c>
      <c r="L258" s="1">
        <f>L259</f>
        <v>0</v>
      </c>
      <c r="M258" s="1"/>
      <c r="N258" s="1"/>
      <c r="O258" s="175"/>
      <c r="P258" s="129"/>
    </row>
    <row r="259" spans="1:16" ht="33" customHeight="1" hidden="1">
      <c r="A259" s="8"/>
      <c r="B259" s="24"/>
      <c r="C259" s="24"/>
      <c r="D259" s="24"/>
      <c r="E259" s="24"/>
      <c r="F259" s="25"/>
      <c r="G259" s="223" t="s">
        <v>2</v>
      </c>
      <c r="H259" s="7"/>
      <c r="I259" s="148">
        <v>200</v>
      </c>
      <c r="J259" s="1"/>
      <c r="K259" s="1"/>
      <c r="L259" s="131">
        <f>J259+K259</f>
        <v>0</v>
      </c>
      <c r="M259" s="131"/>
      <c r="N259" s="131"/>
      <c r="O259" s="175"/>
      <c r="P259" s="169"/>
    </row>
    <row r="260" spans="1:16" ht="46.5" customHeight="1">
      <c r="A260" s="8"/>
      <c r="B260" s="24"/>
      <c r="C260" s="24"/>
      <c r="D260" s="24"/>
      <c r="E260" s="24"/>
      <c r="F260" s="25"/>
      <c r="G260" s="225" t="s">
        <v>811</v>
      </c>
      <c r="H260" s="4" t="s">
        <v>351</v>
      </c>
      <c r="I260" s="191"/>
      <c r="J260" s="192">
        <f>J261</f>
        <v>2717494</v>
      </c>
      <c r="K260" s="192">
        <f>K261</f>
        <v>0</v>
      </c>
      <c r="L260" s="133">
        <f>L261</f>
        <v>1823654</v>
      </c>
      <c r="M260" s="133">
        <f>M261</f>
        <v>0</v>
      </c>
      <c r="N260" s="133">
        <f>N261</f>
        <v>3281247</v>
      </c>
      <c r="O260" s="175"/>
      <c r="P260" s="167"/>
    </row>
    <row r="261" spans="1:16" ht="63">
      <c r="A261" s="8"/>
      <c r="B261" s="24"/>
      <c r="C261" s="24"/>
      <c r="D261" s="24"/>
      <c r="E261" s="24"/>
      <c r="F261" s="25"/>
      <c r="G261" s="223" t="s">
        <v>812</v>
      </c>
      <c r="H261" s="4" t="s">
        <v>352</v>
      </c>
      <c r="I261" s="193"/>
      <c r="J261" s="194">
        <f>J265</f>
        <v>2717494</v>
      </c>
      <c r="K261" s="194">
        <f>K265</f>
        <v>0</v>
      </c>
      <c r="L261" s="131">
        <f>L265</f>
        <v>1823654</v>
      </c>
      <c r="M261" s="131">
        <f>M265</f>
        <v>0</v>
      </c>
      <c r="N261" s="131">
        <f>N265</f>
        <v>3281247</v>
      </c>
      <c r="O261" s="150"/>
      <c r="P261" s="169"/>
    </row>
    <row r="262" spans="1:16" ht="82.5" customHeight="1" hidden="1">
      <c r="A262" s="8"/>
      <c r="B262" s="24"/>
      <c r="C262" s="24"/>
      <c r="D262" s="24"/>
      <c r="E262" s="24"/>
      <c r="F262" s="25"/>
      <c r="G262" s="223" t="s">
        <v>140</v>
      </c>
      <c r="H262" s="195" t="s">
        <v>254</v>
      </c>
      <c r="I262" s="193"/>
      <c r="J262" s="194">
        <f>J263+J264</f>
        <v>380000</v>
      </c>
      <c r="K262" s="194"/>
      <c r="L262" s="131"/>
      <c r="M262" s="131"/>
      <c r="N262" s="131"/>
      <c r="O262" s="150"/>
      <c r="P262" s="169"/>
    </row>
    <row r="263" spans="1:16" ht="24" customHeight="1" hidden="1">
      <c r="A263" s="8"/>
      <c r="B263" s="24"/>
      <c r="C263" s="24"/>
      <c r="D263" s="24"/>
      <c r="E263" s="24"/>
      <c r="F263" s="25"/>
      <c r="G263" s="223" t="s">
        <v>5</v>
      </c>
      <c r="H263" s="196"/>
      <c r="I263" s="193">
        <v>300</v>
      </c>
      <c r="J263" s="194">
        <v>199200</v>
      </c>
      <c r="K263" s="194"/>
      <c r="L263" s="131"/>
      <c r="M263" s="131"/>
      <c r="N263" s="131"/>
      <c r="O263" s="150"/>
      <c r="P263" s="169"/>
    </row>
    <row r="264" spans="1:16" ht="36.75" customHeight="1" hidden="1">
      <c r="A264" s="8"/>
      <c r="B264" s="24"/>
      <c r="C264" s="24"/>
      <c r="D264" s="24"/>
      <c r="E264" s="24"/>
      <c r="F264" s="25"/>
      <c r="G264" s="223" t="s">
        <v>4</v>
      </c>
      <c r="H264" s="193"/>
      <c r="I264" s="193">
        <v>600</v>
      </c>
      <c r="J264" s="194">
        <v>180800</v>
      </c>
      <c r="K264" s="194"/>
      <c r="L264" s="131"/>
      <c r="M264" s="131"/>
      <c r="N264" s="131"/>
      <c r="O264" s="150"/>
      <c r="P264" s="169"/>
    </row>
    <row r="265" spans="1:16" ht="48.75" customHeight="1">
      <c r="A265" s="8"/>
      <c r="B265" s="24"/>
      <c r="C265" s="24"/>
      <c r="D265" s="24"/>
      <c r="E265" s="24"/>
      <c r="F265" s="25"/>
      <c r="G265" s="224" t="s">
        <v>512</v>
      </c>
      <c r="H265" s="147" t="s">
        <v>353</v>
      </c>
      <c r="I265" s="193"/>
      <c r="J265" s="194">
        <f>J266+J274+J287+J279+J289+J272</f>
        <v>2717494</v>
      </c>
      <c r="K265" s="194">
        <f>K266+K274+K287+K279+K289+K272</f>
        <v>0</v>
      </c>
      <c r="L265" s="131">
        <f>L266+L274+L287+L279+L289+L272</f>
        <v>1823654</v>
      </c>
      <c r="M265" s="131">
        <f>M266+M274+M287+M279+M289+M272</f>
        <v>0</v>
      </c>
      <c r="N265" s="131">
        <f>N266+N274+N287+N279+N289+N272</f>
        <v>3281247</v>
      </c>
      <c r="O265" s="150"/>
      <c r="P265" s="169"/>
    </row>
    <row r="266" spans="1:16" ht="69" customHeight="1">
      <c r="A266" s="8"/>
      <c r="B266" s="24"/>
      <c r="C266" s="24"/>
      <c r="D266" s="24"/>
      <c r="E266" s="24"/>
      <c r="F266" s="25"/>
      <c r="G266" s="223" t="s">
        <v>813</v>
      </c>
      <c r="H266" s="7" t="s">
        <v>354</v>
      </c>
      <c r="I266" s="193"/>
      <c r="J266" s="194">
        <f>J267+J268</f>
        <v>437541</v>
      </c>
      <c r="K266" s="194">
        <f>K267+K268</f>
        <v>0</v>
      </c>
      <c r="L266" s="131">
        <f>L267+L268</f>
        <v>437541</v>
      </c>
      <c r="M266" s="131">
        <f>M267+M268</f>
        <v>0</v>
      </c>
      <c r="N266" s="131">
        <f>N267+N268</f>
        <v>422188</v>
      </c>
      <c r="O266" s="150"/>
      <c r="P266" s="169"/>
    </row>
    <row r="267" spans="1:16" ht="35.25" customHeight="1" hidden="1">
      <c r="A267" s="8"/>
      <c r="B267" s="24"/>
      <c r="C267" s="24"/>
      <c r="D267" s="24"/>
      <c r="E267" s="24"/>
      <c r="F267" s="25"/>
      <c r="G267" s="223" t="s">
        <v>2</v>
      </c>
      <c r="H267" s="193"/>
      <c r="I267" s="193">
        <v>200</v>
      </c>
      <c r="J267" s="194"/>
      <c r="K267" s="194"/>
      <c r="L267" s="131"/>
      <c r="M267" s="131"/>
      <c r="N267" s="131"/>
      <c r="O267" s="175"/>
      <c r="P267" s="169"/>
    </row>
    <row r="268" spans="1:16" ht="33" customHeight="1">
      <c r="A268" s="8"/>
      <c r="B268" s="24"/>
      <c r="C268" s="24"/>
      <c r="D268" s="24"/>
      <c r="E268" s="24"/>
      <c r="F268" s="25"/>
      <c r="G268" s="223" t="s">
        <v>4</v>
      </c>
      <c r="H268" s="193"/>
      <c r="I268" s="193">
        <v>600</v>
      </c>
      <c r="J268" s="194">
        <v>437541</v>
      </c>
      <c r="K268" s="194"/>
      <c r="L268" s="131">
        <f>K268+J268</f>
        <v>437541</v>
      </c>
      <c r="M268" s="131">
        <v>0</v>
      </c>
      <c r="N268" s="131">
        <f>469538-47350</f>
        <v>422188</v>
      </c>
      <c r="O268" s="150"/>
      <c r="P268" s="169"/>
    </row>
    <row r="269" spans="1:16" ht="18.75" customHeight="1" hidden="1">
      <c r="A269" s="8"/>
      <c r="B269" s="24"/>
      <c r="C269" s="24"/>
      <c r="D269" s="24"/>
      <c r="E269" s="24"/>
      <c r="F269" s="25"/>
      <c r="G269" s="223" t="s">
        <v>141</v>
      </c>
      <c r="H269" s="195" t="s">
        <v>266</v>
      </c>
      <c r="I269" s="193"/>
      <c r="J269" s="194">
        <f>J271+J270</f>
        <v>0</v>
      </c>
      <c r="K269" s="194"/>
      <c r="L269" s="131"/>
      <c r="M269" s="131"/>
      <c r="N269" s="131"/>
      <c r="O269" s="175"/>
      <c r="P269" s="169"/>
    </row>
    <row r="270" spans="1:16" ht="18.75" customHeight="1" hidden="1">
      <c r="A270" s="8"/>
      <c r="B270" s="24"/>
      <c r="C270" s="24"/>
      <c r="D270" s="24"/>
      <c r="E270" s="24"/>
      <c r="F270" s="25"/>
      <c r="G270" s="223" t="s">
        <v>5</v>
      </c>
      <c r="H270" s="196"/>
      <c r="I270" s="193">
        <v>300</v>
      </c>
      <c r="J270" s="194"/>
      <c r="K270" s="194"/>
      <c r="L270" s="131"/>
      <c r="M270" s="131"/>
      <c r="N270" s="131"/>
      <c r="O270" s="175"/>
      <c r="P270" s="169"/>
    </row>
    <row r="271" spans="1:16" ht="33.75" customHeight="1" hidden="1">
      <c r="A271" s="8"/>
      <c r="B271" s="24"/>
      <c r="C271" s="24"/>
      <c r="D271" s="24"/>
      <c r="E271" s="24"/>
      <c r="F271" s="25"/>
      <c r="G271" s="223" t="s">
        <v>4</v>
      </c>
      <c r="H271" s="193"/>
      <c r="I271" s="193">
        <v>600</v>
      </c>
      <c r="J271" s="194"/>
      <c r="K271" s="194"/>
      <c r="L271" s="131"/>
      <c r="M271" s="131"/>
      <c r="N271" s="131"/>
      <c r="O271" s="175"/>
      <c r="P271" s="169"/>
    </row>
    <row r="272" spans="1:16" ht="46.5" customHeight="1">
      <c r="A272" s="8"/>
      <c r="B272" s="24"/>
      <c r="C272" s="24"/>
      <c r="D272" s="24"/>
      <c r="E272" s="24"/>
      <c r="F272" s="25"/>
      <c r="G272" s="223" t="s">
        <v>612</v>
      </c>
      <c r="H272" s="7" t="s">
        <v>611</v>
      </c>
      <c r="I272" s="193"/>
      <c r="J272" s="194">
        <f>J273</f>
        <v>58122</v>
      </c>
      <c r="K272" s="194">
        <f>K273</f>
        <v>0</v>
      </c>
      <c r="L272" s="131">
        <f>L273</f>
        <v>58122</v>
      </c>
      <c r="M272" s="131">
        <f>M273</f>
        <v>0</v>
      </c>
      <c r="N272" s="131">
        <f>N273</f>
        <v>78587</v>
      </c>
      <c r="O272" s="175"/>
      <c r="P272" s="169"/>
    </row>
    <row r="273" spans="1:16" ht="33.75" customHeight="1">
      <c r="A273" s="8"/>
      <c r="B273" s="24"/>
      <c r="C273" s="24"/>
      <c r="D273" s="24"/>
      <c r="E273" s="24"/>
      <c r="F273" s="25"/>
      <c r="G273" s="223" t="s">
        <v>4</v>
      </c>
      <c r="H273" s="193"/>
      <c r="I273" s="193">
        <v>600</v>
      </c>
      <c r="J273" s="194">
        <v>58122</v>
      </c>
      <c r="K273" s="194"/>
      <c r="L273" s="131">
        <f>K273+J273</f>
        <v>58122</v>
      </c>
      <c r="M273" s="131">
        <v>0</v>
      </c>
      <c r="N273" s="131">
        <f>74474+4113</f>
        <v>78587</v>
      </c>
      <c r="O273" s="175"/>
      <c r="P273" s="169"/>
    </row>
    <row r="274" spans="1:16" s="46" customFormat="1" ht="51" customHeight="1">
      <c r="A274" s="43"/>
      <c r="B274" s="44"/>
      <c r="C274" s="44"/>
      <c r="D274" s="44"/>
      <c r="E274" s="44"/>
      <c r="F274" s="45"/>
      <c r="G274" s="223" t="s">
        <v>142</v>
      </c>
      <c r="H274" s="7" t="s">
        <v>355</v>
      </c>
      <c r="I274" s="193"/>
      <c r="J274" s="194">
        <f>J276+J278</f>
        <v>47628</v>
      </c>
      <c r="K274" s="194">
        <f>K276+K278</f>
        <v>0</v>
      </c>
      <c r="L274" s="131">
        <f>L276+L278</f>
        <v>47628</v>
      </c>
      <c r="M274" s="131">
        <f>M276+M278</f>
        <v>0</v>
      </c>
      <c r="N274" s="131">
        <f>N277+N278</f>
        <v>65092</v>
      </c>
      <c r="O274" s="175"/>
      <c r="P274" s="169"/>
    </row>
    <row r="275" spans="1:16" s="46" customFormat="1" ht="34.5" customHeight="1" hidden="1">
      <c r="A275" s="43"/>
      <c r="B275" s="44"/>
      <c r="C275" s="44"/>
      <c r="D275" s="44"/>
      <c r="E275" s="44"/>
      <c r="F275" s="45"/>
      <c r="G275" s="223" t="s">
        <v>232</v>
      </c>
      <c r="H275" s="196"/>
      <c r="I275" s="193">
        <v>200</v>
      </c>
      <c r="J275" s="194"/>
      <c r="K275" s="194"/>
      <c r="L275" s="131"/>
      <c r="M275" s="131"/>
      <c r="N275" s="131"/>
      <c r="O275" s="175"/>
      <c r="P275" s="169"/>
    </row>
    <row r="276" spans="1:16" s="46" customFormat="1" ht="34.5" customHeight="1" hidden="1">
      <c r="A276" s="43"/>
      <c r="B276" s="138"/>
      <c r="C276" s="138"/>
      <c r="D276" s="138"/>
      <c r="E276" s="138"/>
      <c r="F276" s="139"/>
      <c r="G276" s="223" t="s">
        <v>2</v>
      </c>
      <c r="H276" s="196"/>
      <c r="I276" s="193">
        <v>200</v>
      </c>
      <c r="J276" s="194"/>
      <c r="K276" s="194"/>
      <c r="L276" s="131">
        <f>K276+J276</f>
        <v>0</v>
      </c>
      <c r="M276" s="131"/>
      <c r="N276" s="131"/>
      <c r="O276" s="175"/>
      <c r="P276" s="169"/>
    </row>
    <row r="277" spans="1:16" s="46" customFormat="1" ht="34.5" customHeight="1">
      <c r="A277" s="43"/>
      <c r="B277" s="239"/>
      <c r="C277" s="239"/>
      <c r="D277" s="239"/>
      <c r="E277" s="239"/>
      <c r="F277" s="240"/>
      <c r="G277" s="223" t="s">
        <v>2</v>
      </c>
      <c r="H277" s="196"/>
      <c r="I277" s="193">
        <v>200</v>
      </c>
      <c r="J277" s="194"/>
      <c r="K277" s="194"/>
      <c r="L277" s="131"/>
      <c r="M277" s="131"/>
      <c r="N277" s="131">
        <v>794.2</v>
      </c>
      <c r="O277" s="175"/>
      <c r="P277" s="169"/>
    </row>
    <row r="278" spans="1:16" s="46" customFormat="1" ht="34.5" customHeight="1">
      <c r="A278" s="43"/>
      <c r="B278" s="44"/>
      <c r="C278" s="44"/>
      <c r="D278" s="44"/>
      <c r="E278" s="44"/>
      <c r="F278" s="45"/>
      <c r="G278" s="223" t="s">
        <v>4</v>
      </c>
      <c r="H278" s="193"/>
      <c r="I278" s="193">
        <v>600</v>
      </c>
      <c r="J278" s="194">
        <v>47628</v>
      </c>
      <c r="K278" s="194"/>
      <c r="L278" s="131">
        <f>K278+J278</f>
        <v>47628</v>
      </c>
      <c r="M278" s="131"/>
      <c r="N278" s="131">
        <f>65092-794.2</f>
        <v>64297.8</v>
      </c>
      <c r="O278" s="175"/>
      <c r="P278" s="169"/>
    </row>
    <row r="279" spans="1:16" s="46" customFormat="1" ht="63">
      <c r="A279" s="43"/>
      <c r="B279" s="44"/>
      <c r="C279" s="44"/>
      <c r="D279" s="44"/>
      <c r="E279" s="44"/>
      <c r="F279" s="45"/>
      <c r="G279" s="223" t="s">
        <v>486</v>
      </c>
      <c r="H279" s="7" t="s">
        <v>485</v>
      </c>
      <c r="I279" s="193"/>
      <c r="J279" s="194">
        <f>J285+J286+J282</f>
        <v>2151198</v>
      </c>
      <c r="K279" s="194">
        <f>K280+K281+K286</f>
        <v>0</v>
      </c>
      <c r="L279" s="131">
        <f>L280+L281+L286</f>
        <v>1257358</v>
      </c>
      <c r="M279" s="131">
        <f>M285+M286+M282</f>
        <v>0</v>
      </c>
      <c r="N279" s="131">
        <f>N285+N286+N284</f>
        <v>2630202</v>
      </c>
      <c r="O279" s="175"/>
      <c r="P279" s="169"/>
    </row>
    <row r="280" spans="1:16" s="46" customFormat="1" ht="31.5" hidden="1">
      <c r="A280" s="43"/>
      <c r="B280" s="138"/>
      <c r="C280" s="138"/>
      <c r="D280" s="138"/>
      <c r="E280" s="138"/>
      <c r="F280" s="139"/>
      <c r="G280" s="223" t="s">
        <v>2</v>
      </c>
      <c r="H280" s="7"/>
      <c r="I280" s="193">
        <v>200</v>
      </c>
      <c r="J280" s="194"/>
      <c r="K280" s="194"/>
      <c r="L280" s="131">
        <f>K280+J280</f>
        <v>0</v>
      </c>
      <c r="M280" s="131"/>
      <c r="N280" s="131"/>
      <c r="O280" s="175"/>
      <c r="P280" s="169"/>
    </row>
    <row r="281" spans="1:16" s="46" customFormat="1" ht="15.75" hidden="1">
      <c r="A281" s="43"/>
      <c r="B281" s="138"/>
      <c r="C281" s="138"/>
      <c r="D281" s="138"/>
      <c r="E281" s="138"/>
      <c r="F281" s="139"/>
      <c r="G281" s="223" t="s">
        <v>5</v>
      </c>
      <c r="H281" s="7"/>
      <c r="I281" s="193">
        <v>300</v>
      </c>
      <c r="J281" s="194"/>
      <c r="K281" s="194"/>
      <c r="L281" s="131">
        <f>K281+J281</f>
        <v>0</v>
      </c>
      <c r="M281" s="131"/>
      <c r="N281" s="131"/>
      <c r="O281" s="175"/>
      <c r="P281" s="169"/>
    </row>
    <row r="282" spans="1:16" s="46" customFormat="1" ht="31.5" hidden="1">
      <c r="A282" s="43"/>
      <c r="B282" s="159"/>
      <c r="C282" s="159"/>
      <c r="D282" s="159"/>
      <c r="E282" s="159"/>
      <c r="F282" s="160"/>
      <c r="G282" s="223" t="s">
        <v>2</v>
      </c>
      <c r="H282" s="7"/>
      <c r="I282" s="193">
        <v>200</v>
      </c>
      <c r="J282" s="194">
        <v>466</v>
      </c>
      <c r="K282" s="194"/>
      <c r="L282" s="131"/>
      <c r="M282" s="131">
        <v>0</v>
      </c>
      <c r="N282" s="131"/>
      <c r="O282" s="175"/>
      <c r="P282" s="169"/>
    </row>
    <row r="283" spans="1:16" s="46" customFormat="1" ht="31.5" hidden="1">
      <c r="A283" s="43"/>
      <c r="B283" s="184"/>
      <c r="C283" s="184"/>
      <c r="D283" s="184"/>
      <c r="E283" s="184"/>
      <c r="F283" s="185"/>
      <c r="G283" s="223" t="s">
        <v>2</v>
      </c>
      <c r="H283" s="7"/>
      <c r="I283" s="193">
        <v>200</v>
      </c>
      <c r="J283" s="194"/>
      <c r="K283" s="194"/>
      <c r="L283" s="131"/>
      <c r="M283" s="131"/>
      <c r="N283" s="131"/>
      <c r="O283" s="175"/>
      <c r="P283" s="169"/>
    </row>
    <row r="284" spans="1:16" s="46" customFormat="1" ht="31.5">
      <c r="A284" s="43"/>
      <c r="B284" s="239"/>
      <c r="C284" s="239"/>
      <c r="D284" s="239"/>
      <c r="E284" s="239"/>
      <c r="F284" s="240"/>
      <c r="G284" s="223" t="s">
        <v>2</v>
      </c>
      <c r="H284" s="7"/>
      <c r="I284" s="193">
        <v>200</v>
      </c>
      <c r="J284" s="194"/>
      <c r="K284" s="194"/>
      <c r="L284" s="131"/>
      <c r="M284" s="131"/>
      <c r="N284" s="131">
        <v>10167</v>
      </c>
      <c r="O284" s="175"/>
      <c r="P284" s="169"/>
    </row>
    <row r="285" spans="1:16" s="46" customFormat="1" ht="15.75">
      <c r="A285" s="43"/>
      <c r="B285" s="152"/>
      <c r="C285" s="152"/>
      <c r="D285" s="152"/>
      <c r="E285" s="152"/>
      <c r="F285" s="153"/>
      <c r="G285" s="223" t="s">
        <v>5</v>
      </c>
      <c r="H285" s="7"/>
      <c r="I285" s="193">
        <v>300</v>
      </c>
      <c r="J285" s="194">
        <v>893374</v>
      </c>
      <c r="K285" s="194"/>
      <c r="L285" s="131"/>
      <c r="M285" s="131">
        <v>0</v>
      </c>
      <c r="N285" s="131">
        <f>892572-8052</f>
        <v>884520</v>
      </c>
      <c r="O285" s="175"/>
      <c r="P285" s="169"/>
    </row>
    <row r="286" spans="1:16" s="46" customFormat="1" ht="36.75" customHeight="1">
      <c r="A286" s="43"/>
      <c r="B286" s="44"/>
      <c r="C286" s="44"/>
      <c r="D286" s="44"/>
      <c r="E286" s="44"/>
      <c r="F286" s="45"/>
      <c r="G286" s="223" t="s">
        <v>4</v>
      </c>
      <c r="H286" s="193"/>
      <c r="I286" s="193">
        <v>600</v>
      </c>
      <c r="J286" s="194">
        <v>1257358</v>
      </c>
      <c r="K286" s="194"/>
      <c r="L286" s="131">
        <f>K286+J286</f>
        <v>1257358</v>
      </c>
      <c r="M286" s="131">
        <v>0</v>
      </c>
      <c r="N286" s="131">
        <f>1737630-2115</f>
        <v>1735515</v>
      </c>
      <c r="O286" s="175"/>
      <c r="P286" s="169"/>
    </row>
    <row r="287" spans="1:16" s="46" customFormat="1" ht="34.5" customHeight="1">
      <c r="A287" s="43"/>
      <c r="B287" s="44"/>
      <c r="C287" s="44"/>
      <c r="D287" s="44"/>
      <c r="E287" s="44"/>
      <c r="F287" s="45"/>
      <c r="G287" s="223" t="s">
        <v>495</v>
      </c>
      <c r="H287" s="7" t="s">
        <v>480</v>
      </c>
      <c r="I287" s="193"/>
      <c r="J287" s="194">
        <f>J288</f>
        <v>13803</v>
      </c>
      <c r="K287" s="194">
        <f>K288</f>
        <v>0</v>
      </c>
      <c r="L287" s="131">
        <f>L288</f>
        <v>13803</v>
      </c>
      <c r="M287" s="131">
        <f>M288</f>
        <v>0</v>
      </c>
      <c r="N287" s="131">
        <f>N288</f>
        <v>74531</v>
      </c>
      <c r="O287" s="175"/>
      <c r="P287" s="169"/>
    </row>
    <row r="288" spans="1:16" s="46" customFormat="1" ht="20.25" customHeight="1">
      <c r="A288" s="43"/>
      <c r="B288" s="44"/>
      <c r="C288" s="44"/>
      <c r="D288" s="44"/>
      <c r="E288" s="44"/>
      <c r="F288" s="45"/>
      <c r="G288" s="223" t="s">
        <v>5</v>
      </c>
      <c r="H288" s="196"/>
      <c r="I288" s="193">
        <v>300</v>
      </c>
      <c r="J288" s="194">
        <v>13803</v>
      </c>
      <c r="K288" s="194"/>
      <c r="L288" s="131">
        <f>K288+J288</f>
        <v>13803</v>
      </c>
      <c r="M288" s="131"/>
      <c r="N288" s="131">
        <v>74531</v>
      </c>
      <c r="O288" s="175"/>
      <c r="P288" s="169"/>
    </row>
    <row r="289" spans="1:16" s="46" customFormat="1" ht="34.5" customHeight="1">
      <c r="A289" s="43"/>
      <c r="B289" s="44"/>
      <c r="C289" s="44"/>
      <c r="D289" s="44"/>
      <c r="E289" s="44"/>
      <c r="F289" s="45"/>
      <c r="G289" s="223" t="s">
        <v>496</v>
      </c>
      <c r="H289" s="7" t="s">
        <v>505</v>
      </c>
      <c r="I289" s="193"/>
      <c r="J289" s="194">
        <f>J290</f>
        <v>9202</v>
      </c>
      <c r="K289" s="194">
        <f>K290</f>
        <v>0</v>
      </c>
      <c r="L289" s="131">
        <f>L290</f>
        <v>9202</v>
      </c>
      <c r="M289" s="131">
        <f>M290</f>
        <v>0</v>
      </c>
      <c r="N289" s="131">
        <f>N290</f>
        <v>10647</v>
      </c>
      <c r="O289" s="175"/>
      <c r="P289" s="169"/>
    </row>
    <row r="290" spans="1:16" s="46" customFormat="1" ht="17.25" customHeight="1">
      <c r="A290" s="43"/>
      <c r="B290" s="44"/>
      <c r="C290" s="44"/>
      <c r="D290" s="44"/>
      <c r="E290" s="44"/>
      <c r="F290" s="45"/>
      <c r="G290" s="223" t="s">
        <v>5</v>
      </c>
      <c r="H290" s="196"/>
      <c r="I290" s="193">
        <v>300</v>
      </c>
      <c r="J290" s="194">
        <v>9202</v>
      </c>
      <c r="K290" s="194"/>
      <c r="L290" s="131">
        <f>K290+J290</f>
        <v>9202</v>
      </c>
      <c r="M290" s="131"/>
      <c r="N290" s="131">
        <v>10647</v>
      </c>
      <c r="O290" s="175"/>
      <c r="P290" s="169"/>
    </row>
    <row r="291" spans="1:16" ht="37.5" customHeight="1">
      <c r="A291" s="8"/>
      <c r="B291" s="24"/>
      <c r="C291" s="24"/>
      <c r="D291" s="24"/>
      <c r="E291" s="24"/>
      <c r="F291" s="25"/>
      <c r="G291" s="225" t="s">
        <v>814</v>
      </c>
      <c r="H291" s="4" t="s">
        <v>356</v>
      </c>
      <c r="I291" s="193"/>
      <c r="J291" s="192">
        <f aca="true" t="shared" si="3" ref="J291:N292">J292</f>
        <v>152500</v>
      </c>
      <c r="K291" s="192">
        <f t="shared" si="3"/>
        <v>0</v>
      </c>
      <c r="L291" s="133">
        <f t="shared" si="3"/>
        <v>152500</v>
      </c>
      <c r="M291" s="133">
        <f t="shared" si="3"/>
        <v>0</v>
      </c>
      <c r="N291" s="133">
        <f t="shared" si="3"/>
        <v>218000</v>
      </c>
      <c r="O291" s="175"/>
      <c r="P291" s="167"/>
    </row>
    <row r="292" spans="1:16" ht="33" customHeight="1">
      <c r="A292" s="8"/>
      <c r="B292" s="24"/>
      <c r="C292" s="24"/>
      <c r="D292" s="24"/>
      <c r="E292" s="24"/>
      <c r="F292" s="25"/>
      <c r="G292" s="223" t="s">
        <v>816</v>
      </c>
      <c r="H292" s="7" t="s">
        <v>357</v>
      </c>
      <c r="I292" s="193"/>
      <c r="J292" s="194">
        <f t="shared" si="3"/>
        <v>152500</v>
      </c>
      <c r="K292" s="194">
        <f t="shared" si="3"/>
        <v>0</v>
      </c>
      <c r="L292" s="131">
        <f t="shared" si="3"/>
        <v>152500</v>
      </c>
      <c r="M292" s="131">
        <f t="shared" si="3"/>
        <v>0</v>
      </c>
      <c r="N292" s="131">
        <f t="shared" si="3"/>
        <v>218000</v>
      </c>
      <c r="O292" s="175"/>
      <c r="P292" s="169"/>
    </row>
    <row r="293" spans="1:16" ht="37.5" customHeight="1">
      <c r="A293" s="8"/>
      <c r="B293" s="24"/>
      <c r="C293" s="24"/>
      <c r="D293" s="24"/>
      <c r="E293" s="24"/>
      <c r="F293" s="25"/>
      <c r="G293" s="224" t="s">
        <v>359</v>
      </c>
      <c r="H293" s="147" t="s">
        <v>358</v>
      </c>
      <c r="I293" s="193"/>
      <c r="J293" s="194">
        <f>J294+J298</f>
        <v>152500</v>
      </c>
      <c r="K293" s="194">
        <f>K294+K298</f>
        <v>0</v>
      </c>
      <c r="L293" s="131">
        <f>L294+L298</f>
        <v>152500</v>
      </c>
      <c r="M293" s="131">
        <f>M294+M298</f>
        <v>0</v>
      </c>
      <c r="N293" s="131">
        <f>N294+N298</f>
        <v>218000</v>
      </c>
      <c r="O293" s="175"/>
      <c r="P293" s="169"/>
    </row>
    <row r="294" spans="1:16" ht="54" customHeight="1">
      <c r="A294" s="8"/>
      <c r="B294" s="24"/>
      <c r="C294" s="24"/>
      <c r="D294" s="24"/>
      <c r="E294" s="24"/>
      <c r="F294" s="25"/>
      <c r="G294" s="223" t="s">
        <v>815</v>
      </c>
      <c r="H294" s="7" t="s">
        <v>360</v>
      </c>
      <c r="I294" s="193"/>
      <c r="J294" s="194">
        <f>J295+J297</f>
        <v>152500</v>
      </c>
      <c r="K294" s="194">
        <f>K295+K297</f>
        <v>0</v>
      </c>
      <c r="L294" s="131">
        <f>L295+L297</f>
        <v>152500</v>
      </c>
      <c r="M294" s="131">
        <f>M295+M297</f>
        <v>0</v>
      </c>
      <c r="N294" s="131">
        <f>N295+N297</f>
        <v>218000</v>
      </c>
      <c r="O294" s="175"/>
      <c r="P294" s="169"/>
    </row>
    <row r="295" spans="1:16" ht="30" customHeight="1">
      <c r="A295" s="8"/>
      <c r="B295" s="24"/>
      <c r="C295" s="24"/>
      <c r="D295" s="24"/>
      <c r="E295" s="24"/>
      <c r="F295" s="25"/>
      <c r="G295" s="223" t="s">
        <v>2</v>
      </c>
      <c r="H295" s="193"/>
      <c r="I295" s="193">
        <v>200</v>
      </c>
      <c r="J295" s="194">
        <f>16000+28500+73000</f>
        <v>117500</v>
      </c>
      <c r="K295" s="194"/>
      <c r="L295" s="131">
        <f>K295+J295</f>
        <v>117500</v>
      </c>
      <c r="M295" s="131"/>
      <c r="N295" s="131">
        <f>30000+18000+47000</f>
        <v>95000</v>
      </c>
      <c r="O295" s="175"/>
      <c r="P295" s="169"/>
    </row>
    <row r="296" spans="1:16" ht="15.75" customHeight="1" hidden="1">
      <c r="A296" s="8"/>
      <c r="B296" s="24"/>
      <c r="C296" s="24"/>
      <c r="D296" s="24"/>
      <c r="E296" s="24"/>
      <c r="F296" s="25"/>
      <c r="G296" s="223" t="s">
        <v>5</v>
      </c>
      <c r="H296" s="193"/>
      <c r="I296" s="193">
        <v>300</v>
      </c>
      <c r="J296" s="194"/>
      <c r="K296" s="194"/>
      <c r="L296" s="131"/>
      <c r="M296" s="131"/>
      <c r="N296" s="131"/>
      <c r="O296" s="175"/>
      <c r="P296" s="169"/>
    </row>
    <row r="297" spans="1:16" ht="40.5" customHeight="1">
      <c r="A297" s="8"/>
      <c r="B297" s="24"/>
      <c r="C297" s="24"/>
      <c r="D297" s="24"/>
      <c r="E297" s="24"/>
      <c r="F297" s="25"/>
      <c r="G297" s="223" t="s">
        <v>4</v>
      </c>
      <c r="H297" s="193"/>
      <c r="I297" s="193">
        <v>600</v>
      </c>
      <c r="J297" s="194">
        <v>35000</v>
      </c>
      <c r="K297" s="194"/>
      <c r="L297" s="131">
        <f>K297+J297</f>
        <v>35000</v>
      </c>
      <c r="M297" s="131"/>
      <c r="N297" s="131">
        <f>43000+80000</f>
        <v>123000</v>
      </c>
      <c r="O297" s="175"/>
      <c r="P297" s="169"/>
    </row>
    <row r="298" spans="1:16" ht="31.5" customHeight="1" hidden="1">
      <c r="A298" s="8"/>
      <c r="B298" s="24"/>
      <c r="C298" s="24"/>
      <c r="D298" s="24"/>
      <c r="E298" s="24"/>
      <c r="F298" s="25"/>
      <c r="G298" s="223" t="s">
        <v>143</v>
      </c>
      <c r="H298" s="7" t="s">
        <v>361</v>
      </c>
      <c r="I298" s="193"/>
      <c r="J298" s="194">
        <f>J299</f>
        <v>0</v>
      </c>
      <c r="K298" s="194"/>
      <c r="L298" s="131"/>
      <c r="M298" s="131"/>
      <c r="N298" s="131"/>
      <c r="O298" s="175"/>
      <c r="P298" s="169"/>
    </row>
    <row r="299" spans="1:16" ht="31.5" customHeight="1" hidden="1">
      <c r="A299" s="8"/>
      <c r="B299" s="24"/>
      <c r="C299" s="24"/>
      <c r="D299" s="24"/>
      <c r="E299" s="24"/>
      <c r="F299" s="25"/>
      <c r="G299" s="223" t="s">
        <v>2</v>
      </c>
      <c r="H299" s="193"/>
      <c r="I299" s="193">
        <v>200</v>
      </c>
      <c r="J299" s="194"/>
      <c r="K299" s="194"/>
      <c r="L299" s="131"/>
      <c r="M299" s="131"/>
      <c r="N299" s="131"/>
      <c r="O299" s="175"/>
      <c r="P299" s="169"/>
    </row>
    <row r="300" spans="1:16" ht="70.5" customHeight="1">
      <c r="A300" s="8"/>
      <c r="B300" s="24"/>
      <c r="C300" s="24"/>
      <c r="D300" s="24"/>
      <c r="E300" s="24"/>
      <c r="F300" s="25"/>
      <c r="G300" s="218" t="s">
        <v>817</v>
      </c>
      <c r="H300" s="4" t="s">
        <v>362</v>
      </c>
      <c r="I300" s="189" t="s">
        <v>0</v>
      </c>
      <c r="J300" s="5">
        <f>J301+J309+J316+J320+J324</f>
        <v>380000</v>
      </c>
      <c r="K300" s="5">
        <f>K301+K309+K316</f>
        <v>0</v>
      </c>
      <c r="L300" s="133">
        <f>L301+L309+L316</f>
        <v>351000</v>
      </c>
      <c r="M300" s="133">
        <f>M301+M309+M316+M320+M324</f>
        <v>0</v>
      </c>
      <c r="N300" s="133">
        <f>N301+N309+N316+N320+N324</f>
        <v>333000</v>
      </c>
      <c r="O300" s="175"/>
      <c r="P300" s="167"/>
    </row>
    <row r="301" spans="1:16" ht="52.5" customHeight="1">
      <c r="A301" s="8"/>
      <c r="B301" s="24"/>
      <c r="C301" s="24"/>
      <c r="D301" s="24"/>
      <c r="E301" s="24"/>
      <c r="F301" s="25"/>
      <c r="G301" s="218" t="s">
        <v>818</v>
      </c>
      <c r="H301" s="4" t="s">
        <v>363</v>
      </c>
      <c r="I301" s="148" t="s">
        <v>0</v>
      </c>
      <c r="J301" s="1">
        <f aca="true" t="shared" si="4" ref="J301:N302">J302</f>
        <v>171000</v>
      </c>
      <c r="K301" s="1">
        <f t="shared" si="4"/>
        <v>0</v>
      </c>
      <c r="L301" s="131">
        <f t="shared" si="4"/>
        <v>171000</v>
      </c>
      <c r="M301" s="131">
        <f t="shared" si="4"/>
        <v>0</v>
      </c>
      <c r="N301" s="131">
        <f t="shared" si="4"/>
        <v>10000</v>
      </c>
      <c r="O301" s="175"/>
      <c r="P301" s="169"/>
    </row>
    <row r="302" spans="1:16" ht="69" customHeight="1">
      <c r="A302" s="8"/>
      <c r="B302" s="24"/>
      <c r="C302" s="24"/>
      <c r="D302" s="24"/>
      <c r="E302" s="24"/>
      <c r="F302" s="25"/>
      <c r="G302" s="212" t="s">
        <v>767</v>
      </c>
      <c r="H302" s="147" t="s">
        <v>364</v>
      </c>
      <c r="I302" s="148"/>
      <c r="J302" s="1">
        <f t="shared" si="4"/>
        <v>171000</v>
      </c>
      <c r="K302" s="1">
        <f t="shared" si="4"/>
        <v>0</v>
      </c>
      <c r="L302" s="131">
        <f t="shared" si="4"/>
        <v>171000</v>
      </c>
      <c r="M302" s="131">
        <f t="shared" si="4"/>
        <v>0</v>
      </c>
      <c r="N302" s="131">
        <f>N303+N307</f>
        <v>10000</v>
      </c>
      <c r="O302" s="175"/>
      <c r="P302" s="169"/>
    </row>
    <row r="303" spans="1:16" s="88" customFormat="1" ht="58.5" customHeight="1">
      <c r="A303" s="87"/>
      <c r="B303" s="278" t="s">
        <v>55</v>
      </c>
      <c r="C303" s="278"/>
      <c r="D303" s="278"/>
      <c r="E303" s="278"/>
      <c r="F303" s="279"/>
      <c r="G303" s="214" t="s">
        <v>484</v>
      </c>
      <c r="H303" s="7" t="s">
        <v>366</v>
      </c>
      <c r="I303" s="148"/>
      <c r="J303" s="1">
        <f>J305+J306</f>
        <v>171000</v>
      </c>
      <c r="K303" s="1">
        <f>K305+K306</f>
        <v>0</v>
      </c>
      <c r="L303" s="131">
        <f>L305+L306</f>
        <v>171000</v>
      </c>
      <c r="M303" s="131">
        <f>M305+M306</f>
        <v>0</v>
      </c>
      <c r="N303" s="131">
        <f>N305+N306</f>
        <v>10000</v>
      </c>
      <c r="O303" s="175"/>
      <c r="P303" s="169"/>
    </row>
    <row r="304" spans="1:16" s="88" customFormat="1" ht="7.5" customHeight="1" hidden="1">
      <c r="A304" s="87"/>
      <c r="B304" s="248" t="s">
        <v>54</v>
      </c>
      <c r="C304" s="248"/>
      <c r="D304" s="248"/>
      <c r="E304" s="248"/>
      <c r="F304" s="249"/>
      <c r="G304" s="214" t="s">
        <v>2</v>
      </c>
      <c r="H304" s="186"/>
      <c r="I304" s="148">
        <v>200</v>
      </c>
      <c r="J304" s="1"/>
      <c r="K304" s="1"/>
      <c r="L304" s="131"/>
      <c r="M304" s="131"/>
      <c r="N304" s="131"/>
      <c r="O304" s="176"/>
      <c r="P304" s="169"/>
    </row>
    <row r="305" spans="1:16" s="88" customFormat="1" ht="40.5" customHeight="1">
      <c r="A305" s="87"/>
      <c r="B305" s="89"/>
      <c r="C305" s="89"/>
      <c r="D305" s="89"/>
      <c r="E305" s="89"/>
      <c r="F305" s="90"/>
      <c r="G305" s="223" t="s">
        <v>2</v>
      </c>
      <c r="H305" s="186"/>
      <c r="I305" s="148">
        <v>200</v>
      </c>
      <c r="J305" s="1">
        <v>75000</v>
      </c>
      <c r="K305" s="1"/>
      <c r="L305" s="131">
        <f>K305+J305</f>
        <v>75000</v>
      </c>
      <c r="M305" s="131"/>
      <c r="N305" s="131">
        <v>10000</v>
      </c>
      <c r="O305" s="176"/>
      <c r="P305" s="169"/>
    </row>
    <row r="306" spans="1:16" s="110" customFormat="1" ht="53.25" customHeight="1" hidden="1">
      <c r="A306" s="107"/>
      <c r="B306" s="108"/>
      <c r="C306" s="108"/>
      <c r="D306" s="108"/>
      <c r="E306" s="108"/>
      <c r="F306" s="109"/>
      <c r="G306" s="214" t="s">
        <v>4</v>
      </c>
      <c r="H306" s="186"/>
      <c r="I306" s="148">
        <v>600</v>
      </c>
      <c r="J306" s="1">
        <f>73000+23000</f>
        <v>96000</v>
      </c>
      <c r="K306" s="1"/>
      <c r="L306" s="131">
        <f>K306+J306</f>
        <v>96000</v>
      </c>
      <c r="M306" s="131"/>
      <c r="N306" s="131">
        <v>0</v>
      </c>
      <c r="O306" s="176"/>
      <c r="P306" s="169"/>
    </row>
    <row r="307" spans="1:16" s="110" customFormat="1" ht="53.25" customHeight="1" hidden="1">
      <c r="A307" s="107"/>
      <c r="B307" s="108"/>
      <c r="C307" s="108"/>
      <c r="D307" s="108"/>
      <c r="E307" s="108"/>
      <c r="F307" s="109"/>
      <c r="G307" s="214" t="s">
        <v>517</v>
      </c>
      <c r="H307" s="7" t="s">
        <v>765</v>
      </c>
      <c r="I307" s="148"/>
      <c r="J307" s="1"/>
      <c r="K307" s="1"/>
      <c r="L307" s="131"/>
      <c r="M307" s="131"/>
      <c r="N307" s="131">
        <f>N308</f>
        <v>0</v>
      </c>
      <c r="O307" s="176"/>
      <c r="P307" s="169"/>
    </row>
    <row r="308" spans="1:16" s="110" customFormat="1" ht="53.25" customHeight="1" hidden="1">
      <c r="A308" s="107"/>
      <c r="B308" s="108"/>
      <c r="C308" s="108"/>
      <c r="D308" s="108"/>
      <c r="E308" s="108"/>
      <c r="F308" s="109"/>
      <c r="G308" s="214" t="s">
        <v>4</v>
      </c>
      <c r="H308" s="186"/>
      <c r="I308" s="148">
        <v>600</v>
      </c>
      <c r="J308" s="1"/>
      <c r="K308" s="1"/>
      <c r="L308" s="131"/>
      <c r="M308" s="131"/>
      <c r="N308" s="131">
        <v>0</v>
      </c>
      <c r="O308" s="176"/>
      <c r="P308" s="169"/>
    </row>
    <row r="309" spans="1:16" ht="54" customHeight="1">
      <c r="A309" s="8"/>
      <c r="B309" s="18"/>
      <c r="C309" s="18"/>
      <c r="D309" s="18"/>
      <c r="E309" s="18"/>
      <c r="F309" s="19"/>
      <c r="G309" s="218" t="s">
        <v>819</v>
      </c>
      <c r="H309" s="4" t="s">
        <v>481</v>
      </c>
      <c r="I309" s="148"/>
      <c r="J309" s="5">
        <f aca="true" t="shared" si="5" ref="J309:N311">J310</f>
        <v>10000</v>
      </c>
      <c r="K309" s="5">
        <f t="shared" si="5"/>
        <v>0</v>
      </c>
      <c r="L309" s="133">
        <f t="shared" si="5"/>
        <v>10000</v>
      </c>
      <c r="M309" s="133">
        <f t="shared" si="5"/>
        <v>0</v>
      </c>
      <c r="N309" s="133">
        <f t="shared" si="5"/>
        <v>294000</v>
      </c>
      <c r="O309" s="176"/>
      <c r="P309" s="167"/>
    </row>
    <row r="310" spans="1:16" ht="51.75" customHeight="1">
      <c r="A310" s="8"/>
      <c r="B310" s="18"/>
      <c r="C310" s="18"/>
      <c r="D310" s="18"/>
      <c r="E310" s="18"/>
      <c r="F310" s="19"/>
      <c r="G310" s="212" t="s">
        <v>365</v>
      </c>
      <c r="H310" s="147" t="s">
        <v>482</v>
      </c>
      <c r="I310" s="148"/>
      <c r="J310" s="1">
        <f t="shared" si="5"/>
        <v>10000</v>
      </c>
      <c r="K310" s="1">
        <f t="shared" si="5"/>
        <v>0</v>
      </c>
      <c r="L310" s="131">
        <f t="shared" si="5"/>
        <v>10000</v>
      </c>
      <c r="M310" s="131">
        <f t="shared" si="5"/>
        <v>0</v>
      </c>
      <c r="N310" s="131">
        <f>N311+N314</f>
        <v>294000</v>
      </c>
      <c r="O310" s="176"/>
      <c r="P310" s="169"/>
    </row>
    <row r="311" spans="1:16" ht="61.5" customHeight="1">
      <c r="A311" s="8"/>
      <c r="B311" s="18"/>
      <c r="C311" s="18"/>
      <c r="D311" s="18"/>
      <c r="E311" s="18"/>
      <c r="F311" s="19"/>
      <c r="G311" s="214" t="s">
        <v>820</v>
      </c>
      <c r="H311" s="7" t="s">
        <v>483</v>
      </c>
      <c r="I311" s="148"/>
      <c r="J311" s="1">
        <f t="shared" si="5"/>
        <v>10000</v>
      </c>
      <c r="K311" s="1">
        <f t="shared" si="5"/>
        <v>0</v>
      </c>
      <c r="L311" s="131">
        <f t="shared" si="5"/>
        <v>10000</v>
      </c>
      <c r="M311" s="131">
        <f t="shared" si="5"/>
        <v>0</v>
      </c>
      <c r="N311" s="131">
        <f>N312+N313</f>
        <v>124000</v>
      </c>
      <c r="O311" s="176"/>
      <c r="P311" s="169"/>
    </row>
    <row r="312" spans="1:16" ht="36" customHeight="1">
      <c r="A312" s="8"/>
      <c r="B312" s="18"/>
      <c r="C312" s="18"/>
      <c r="D312" s="18"/>
      <c r="E312" s="18"/>
      <c r="F312" s="19"/>
      <c r="G312" s="214" t="s">
        <v>2</v>
      </c>
      <c r="H312" s="186"/>
      <c r="I312" s="148">
        <v>200</v>
      </c>
      <c r="J312" s="1">
        <v>10000</v>
      </c>
      <c r="K312" s="1"/>
      <c r="L312" s="131">
        <f>K312+J312</f>
        <v>10000</v>
      </c>
      <c r="M312" s="131"/>
      <c r="N312" s="131">
        <v>47000</v>
      </c>
      <c r="O312" s="176"/>
      <c r="P312" s="169"/>
    </row>
    <row r="313" spans="1:16" ht="36" customHeight="1">
      <c r="A313" s="8"/>
      <c r="B313" s="18"/>
      <c r="C313" s="18"/>
      <c r="D313" s="18"/>
      <c r="E313" s="18"/>
      <c r="F313" s="19"/>
      <c r="G313" s="223" t="s">
        <v>4</v>
      </c>
      <c r="H313" s="186"/>
      <c r="I313" s="148">
        <v>600</v>
      </c>
      <c r="J313" s="1"/>
      <c r="K313" s="1"/>
      <c r="L313" s="131"/>
      <c r="M313" s="131"/>
      <c r="N313" s="131">
        <f>52000+25000</f>
        <v>77000</v>
      </c>
      <c r="O313" s="176"/>
      <c r="P313" s="169"/>
    </row>
    <row r="314" spans="1:16" ht="51.75" customHeight="1">
      <c r="A314" s="8"/>
      <c r="B314" s="18"/>
      <c r="C314" s="18"/>
      <c r="D314" s="18"/>
      <c r="E314" s="18"/>
      <c r="F314" s="19"/>
      <c r="G314" s="214" t="s">
        <v>517</v>
      </c>
      <c r="H314" s="7" t="s">
        <v>768</v>
      </c>
      <c r="I314" s="148"/>
      <c r="J314" s="1"/>
      <c r="K314" s="1"/>
      <c r="L314" s="131"/>
      <c r="M314" s="131"/>
      <c r="N314" s="131">
        <f>N315</f>
        <v>170000</v>
      </c>
      <c r="O314" s="176"/>
      <c r="P314" s="169"/>
    </row>
    <row r="315" spans="1:16" ht="36" customHeight="1">
      <c r="A315" s="8"/>
      <c r="B315" s="18"/>
      <c r="C315" s="18"/>
      <c r="D315" s="18"/>
      <c r="E315" s="18"/>
      <c r="F315" s="19"/>
      <c r="G315" s="223" t="s">
        <v>4</v>
      </c>
      <c r="H315" s="186"/>
      <c r="I315" s="148">
        <v>600</v>
      </c>
      <c r="J315" s="1"/>
      <c r="K315" s="1"/>
      <c r="L315" s="131"/>
      <c r="M315" s="131"/>
      <c r="N315" s="131">
        <v>170000</v>
      </c>
      <c r="O315" s="176"/>
      <c r="P315" s="169"/>
    </row>
    <row r="316" spans="1:16" ht="52.5" customHeight="1">
      <c r="A316" s="8"/>
      <c r="B316" s="18"/>
      <c r="C316" s="18"/>
      <c r="D316" s="18"/>
      <c r="E316" s="18"/>
      <c r="F316" s="19"/>
      <c r="G316" s="218" t="s">
        <v>821</v>
      </c>
      <c r="H316" s="4" t="s">
        <v>367</v>
      </c>
      <c r="I316" s="148"/>
      <c r="J316" s="1">
        <f>J317</f>
        <v>170000</v>
      </c>
      <c r="K316" s="1">
        <f>K317</f>
        <v>0</v>
      </c>
      <c r="L316" s="131">
        <f>L317</f>
        <v>170000</v>
      </c>
      <c r="M316" s="131">
        <f>M317</f>
        <v>0</v>
      </c>
      <c r="N316" s="131">
        <f>N317</f>
        <v>19000</v>
      </c>
      <c r="O316" s="176"/>
      <c r="P316" s="169"/>
    </row>
    <row r="317" spans="1:16" ht="37.5" customHeight="1">
      <c r="A317" s="8"/>
      <c r="B317" s="18"/>
      <c r="C317" s="18"/>
      <c r="D317" s="18"/>
      <c r="E317" s="18"/>
      <c r="F317" s="19"/>
      <c r="G317" s="212" t="s">
        <v>769</v>
      </c>
      <c r="H317" s="147" t="s">
        <v>770</v>
      </c>
      <c r="I317" s="148"/>
      <c r="J317" s="1">
        <f>J318</f>
        <v>170000</v>
      </c>
      <c r="K317" s="1">
        <f>K318+K320</f>
        <v>0</v>
      </c>
      <c r="L317" s="131">
        <f>L318+L320</f>
        <v>170000</v>
      </c>
      <c r="M317" s="131">
        <f>M318</f>
        <v>0</v>
      </c>
      <c r="N317" s="131">
        <f>N318</f>
        <v>19000</v>
      </c>
      <c r="O317" s="176"/>
      <c r="P317" s="169"/>
    </row>
    <row r="318" spans="1:16" ht="33.75" customHeight="1">
      <c r="A318" s="8"/>
      <c r="B318" s="18"/>
      <c r="C318" s="18"/>
      <c r="D318" s="18"/>
      <c r="E318" s="18"/>
      <c r="F318" s="19"/>
      <c r="G318" s="214" t="s">
        <v>693</v>
      </c>
      <c r="H318" s="7" t="s">
        <v>771</v>
      </c>
      <c r="I318" s="148"/>
      <c r="J318" s="1">
        <f>J319</f>
        <v>170000</v>
      </c>
      <c r="K318" s="1">
        <f>K319</f>
        <v>0</v>
      </c>
      <c r="L318" s="131">
        <f>L319</f>
        <v>170000</v>
      </c>
      <c r="M318" s="131">
        <f>M319</f>
        <v>0</v>
      </c>
      <c r="N318" s="131">
        <f>N319</f>
        <v>19000</v>
      </c>
      <c r="O318" s="176"/>
      <c r="P318" s="169"/>
    </row>
    <row r="319" spans="1:16" ht="38.25" customHeight="1">
      <c r="A319" s="8"/>
      <c r="B319" s="18"/>
      <c r="C319" s="18"/>
      <c r="D319" s="18"/>
      <c r="E319" s="18"/>
      <c r="F319" s="19"/>
      <c r="G319" s="214" t="s">
        <v>4</v>
      </c>
      <c r="H319" s="186"/>
      <c r="I319" s="148">
        <v>200</v>
      </c>
      <c r="J319" s="1">
        <v>170000</v>
      </c>
      <c r="K319" s="1"/>
      <c r="L319" s="131">
        <f>K319+J319</f>
        <v>170000</v>
      </c>
      <c r="M319" s="131"/>
      <c r="N319" s="131">
        <v>19000</v>
      </c>
      <c r="O319" s="176"/>
      <c r="P319" s="169"/>
    </row>
    <row r="320" spans="1:16" s="46" customFormat="1" ht="34.5" customHeight="1">
      <c r="A320" s="43"/>
      <c r="B320" s="65"/>
      <c r="C320" s="65"/>
      <c r="D320" s="65"/>
      <c r="E320" s="65"/>
      <c r="F320" s="66"/>
      <c r="G320" s="218" t="s">
        <v>822</v>
      </c>
      <c r="H320" s="4" t="s">
        <v>667</v>
      </c>
      <c r="I320" s="148"/>
      <c r="J320" s="1">
        <f>J321</f>
        <v>19000</v>
      </c>
      <c r="K320" s="1"/>
      <c r="L320" s="131"/>
      <c r="M320" s="131">
        <f aca="true" t="shared" si="6" ref="M320:N322">M321</f>
        <v>0</v>
      </c>
      <c r="N320" s="131">
        <f t="shared" si="6"/>
        <v>10000</v>
      </c>
      <c r="O320" s="176"/>
      <c r="P320" s="169"/>
    </row>
    <row r="321" spans="1:16" s="46" customFormat="1" ht="33" customHeight="1">
      <c r="A321" s="43"/>
      <c r="B321" s="65"/>
      <c r="C321" s="65"/>
      <c r="D321" s="65"/>
      <c r="E321" s="65"/>
      <c r="F321" s="66"/>
      <c r="G321" s="212" t="s">
        <v>772</v>
      </c>
      <c r="H321" s="147" t="s">
        <v>668</v>
      </c>
      <c r="I321" s="148"/>
      <c r="J321" s="1">
        <f>J322</f>
        <v>19000</v>
      </c>
      <c r="K321" s="1"/>
      <c r="L321" s="131"/>
      <c r="M321" s="131">
        <f t="shared" si="6"/>
        <v>0</v>
      </c>
      <c r="N321" s="131">
        <f t="shared" si="6"/>
        <v>10000</v>
      </c>
      <c r="O321" s="176"/>
      <c r="P321" s="169"/>
    </row>
    <row r="322" spans="1:16" s="46" customFormat="1" ht="44.25" customHeight="1">
      <c r="A322" s="43"/>
      <c r="B322" s="61"/>
      <c r="C322" s="61"/>
      <c r="D322" s="61"/>
      <c r="E322" s="61"/>
      <c r="F322" s="62"/>
      <c r="G322" s="214" t="s">
        <v>694</v>
      </c>
      <c r="H322" s="7" t="s">
        <v>766</v>
      </c>
      <c r="I322" s="148"/>
      <c r="J322" s="1">
        <f>J323</f>
        <v>19000</v>
      </c>
      <c r="K322" s="1"/>
      <c r="L322" s="131"/>
      <c r="M322" s="131">
        <f t="shared" si="6"/>
        <v>0</v>
      </c>
      <c r="N322" s="131">
        <f t="shared" si="6"/>
        <v>10000</v>
      </c>
      <c r="O322" s="176"/>
      <c r="P322" s="169"/>
    </row>
    <row r="323" spans="1:16" s="46" customFormat="1" ht="30.75" customHeight="1">
      <c r="A323" s="43"/>
      <c r="B323" s="61"/>
      <c r="C323" s="61"/>
      <c r="D323" s="61"/>
      <c r="E323" s="61"/>
      <c r="F323" s="62"/>
      <c r="G323" s="214" t="s">
        <v>2</v>
      </c>
      <c r="H323" s="7"/>
      <c r="I323" s="148">
        <v>200</v>
      </c>
      <c r="J323" s="1">
        <v>19000</v>
      </c>
      <c r="K323" s="1"/>
      <c r="L323" s="131"/>
      <c r="M323" s="131"/>
      <c r="N323" s="131">
        <v>10000</v>
      </c>
      <c r="O323" s="176"/>
      <c r="P323" s="169"/>
    </row>
    <row r="324" spans="1:16" s="46" customFormat="1" ht="43.5" customHeight="1" hidden="1">
      <c r="A324" s="43"/>
      <c r="B324" s="61"/>
      <c r="C324" s="61"/>
      <c r="D324" s="61"/>
      <c r="E324" s="61"/>
      <c r="F324" s="62"/>
      <c r="G324" s="218" t="s">
        <v>672</v>
      </c>
      <c r="H324" s="4" t="s">
        <v>669</v>
      </c>
      <c r="I324" s="148"/>
      <c r="J324" s="1">
        <f>J325</f>
        <v>10000</v>
      </c>
      <c r="K324" s="1"/>
      <c r="L324" s="131"/>
      <c r="M324" s="131">
        <f aca="true" t="shared" si="7" ref="M324:N326">M325</f>
        <v>0</v>
      </c>
      <c r="N324" s="131">
        <f t="shared" si="7"/>
        <v>0</v>
      </c>
      <c r="O324" s="176"/>
      <c r="P324" s="169"/>
    </row>
    <row r="325" spans="1:16" s="46" customFormat="1" ht="30.75" customHeight="1" hidden="1">
      <c r="A325" s="43"/>
      <c r="B325" s="61"/>
      <c r="C325" s="61"/>
      <c r="D325" s="61"/>
      <c r="E325" s="61"/>
      <c r="F325" s="62"/>
      <c r="G325" s="212" t="s">
        <v>695</v>
      </c>
      <c r="H325" s="147" t="s">
        <v>670</v>
      </c>
      <c r="I325" s="148"/>
      <c r="J325" s="1">
        <f>J326</f>
        <v>10000</v>
      </c>
      <c r="K325" s="1"/>
      <c r="L325" s="131"/>
      <c r="M325" s="131">
        <f t="shared" si="7"/>
        <v>0</v>
      </c>
      <c r="N325" s="131">
        <f t="shared" si="7"/>
        <v>0</v>
      </c>
      <c r="O325" s="176"/>
      <c r="P325" s="169"/>
    </row>
    <row r="326" spans="1:16" s="46" customFormat="1" ht="48" customHeight="1" hidden="1">
      <c r="A326" s="43"/>
      <c r="B326" s="61"/>
      <c r="C326" s="61"/>
      <c r="D326" s="61"/>
      <c r="E326" s="61"/>
      <c r="F326" s="62"/>
      <c r="G326" s="214" t="s">
        <v>694</v>
      </c>
      <c r="H326" s="7" t="s">
        <v>671</v>
      </c>
      <c r="I326" s="148"/>
      <c r="J326" s="1">
        <f>J327</f>
        <v>10000</v>
      </c>
      <c r="K326" s="1"/>
      <c r="L326" s="131"/>
      <c r="M326" s="131">
        <f t="shared" si="7"/>
        <v>0</v>
      </c>
      <c r="N326" s="131">
        <f t="shared" si="7"/>
        <v>0</v>
      </c>
      <c r="O326" s="176"/>
      <c r="P326" s="169"/>
    </row>
    <row r="327" spans="1:16" s="46" customFormat="1" ht="30.75" customHeight="1" hidden="1">
      <c r="A327" s="43"/>
      <c r="B327" s="61"/>
      <c r="C327" s="61"/>
      <c r="D327" s="61"/>
      <c r="E327" s="61"/>
      <c r="F327" s="62"/>
      <c r="G327" s="214" t="s">
        <v>2</v>
      </c>
      <c r="H327" s="7"/>
      <c r="I327" s="148">
        <v>200</v>
      </c>
      <c r="J327" s="1">
        <v>10000</v>
      </c>
      <c r="K327" s="1"/>
      <c r="L327" s="131"/>
      <c r="M327" s="131"/>
      <c r="N327" s="131">
        <v>0</v>
      </c>
      <c r="O327" s="176"/>
      <c r="P327" s="169"/>
    </row>
    <row r="328" spans="1:16" s="46" customFormat="1" ht="71.25" customHeight="1">
      <c r="A328" s="43"/>
      <c r="B328" s="61"/>
      <c r="C328" s="61"/>
      <c r="D328" s="61"/>
      <c r="E328" s="61"/>
      <c r="F328" s="62"/>
      <c r="G328" s="218" t="s">
        <v>823</v>
      </c>
      <c r="H328" s="4" t="s">
        <v>569</v>
      </c>
      <c r="I328" s="148"/>
      <c r="J328" s="1">
        <f aca="true" t="shared" si="8" ref="J328:N329">J329</f>
        <v>116000</v>
      </c>
      <c r="K328" s="1">
        <f t="shared" si="8"/>
        <v>0</v>
      </c>
      <c r="L328" s="131">
        <f t="shared" si="8"/>
        <v>116000</v>
      </c>
      <c r="M328" s="131">
        <f t="shared" si="8"/>
        <v>0</v>
      </c>
      <c r="N328" s="131">
        <f t="shared" si="8"/>
        <v>180655</v>
      </c>
      <c r="O328" s="176"/>
      <c r="P328" s="169"/>
    </row>
    <row r="329" spans="1:16" s="46" customFormat="1" ht="63" customHeight="1">
      <c r="A329" s="43"/>
      <c r="B329" s="61"/>
      <c r="C329" s="61"/>
      <c r="D329" s="61"/>
      <c r="E329" s="61"/>
      <c r="F329" s="62"/>
      <c r="G329" s="214" t="s">
        <v>824</v>
      </c>
      <c r="H329" s="7" t="s">
        <v>570</v>
      </c>
      <c r="I329" s="148"/>
      <c r="J329" s="1">
        <f t="shared" si="8"/>
        <v>116000</v>
      </c>
      <c r="K329" s="1">
        <f t="shared" si="8"/>
        <v>0</v>
      </c>
      <c r="L329" s="131">
        <f t="shared" si="8"/>
        <v>116000</v>
      </c>
      <c r="M329" s="131">
        <f t="shared" si="8"/>
        <v>0</v>
      </c>
      <c r="N329" s="131">
        <f t="shared" si="8"/>
        <v>180655</v>
      </c>
      <c r="O329" s="176"/>
      <c r="P329" s="169"/>
    </row>
    <row r="330" spans="1:16" s="46" customFormat="1" ht="47.25">
      <c r="A330" s="43"/>
      <c r="B330" s="61"/>
      <c r="C330" s="61"/>
      <c r="D330" s="61"/>
      <c r="E330" s="61"/>
      <c r="F330" s="62"/>
      <c r="G330" s="212" t="s">
        <v>585</v>
      </c>
      <c r="H330" s="147" t="s">
        <v>571</v>
      </c>
      <c r="I330" s="148"/>
      <c r="J330" s="1">
        <f>J331+J335</f>
        <v>116000</v>
      </c>
      <c r="K330" s="1">
        <f>K331+K335</f>
        <v>0</v>
      </c>
      <c r="L330" s="131">
        <f>L331+L335</f>
        <v>116000</v>
      </c>
      <c r="M330" s="131">
        <f>M331+M335</f>
        <v>0</v>
      </c>
      <c r="N330" s="131">
        <f>N331+N335+N338</f>
        <v>180655</v>
      </c>
      <c r="O330" s="176"/>
      <c r="P330" s="169"/>
    </row>
    <row r="331" spans="1:16" s="46" customFormat="1" ht="68.25" customHeight="1">
      <c r="A331" s="43"/>
      <c r="B331" s="61"/>
      <c r="C331" s="61"/>
      <c r="D331" s="61"/>
      <c r="E331" s="61"/>
      <c r="F331" s="62"/>
      <c r="G331" s="214" t="s">
        <v>825</v>
      </c>
      <c r="H331" s="7" t="s">
        <v>572</v>
      </c>
      <c r="I331" s="148"/>
      <c r="J331" s="1">
        <f>J332+J333</f>
        <v>116000</v>
      </c>
      <c r="K331" s="1">
        <f>K332+K333</f>
        <v>0</v>
      </c>
      <c r="L331" s="131">
        <f>L332+L333</f>
        <v>116000</v>
      </c>
      <c r="M331" s="131">
        <f>M332+M333</f>
        <v>0</v>
      </c>
      <c r="N331" s="131">
        <f>N332+N333</f>
        <v>116000</v>
      </c>
      <c r="O331" s="176"/>
      <c r="P331" s="169"/>
    </row>
    <row r="332" spans="1:16" s="46" customFormat="1" ht="32.25" customHeight="1">
      <c r="A332" s="43"/>
      <c r="B332" s="61"/>
      <c r="C332" s="61"/>
      <c r="D332" s="61"/>
      <c r="E332" s="61"/>
      <c r="F332" s="62"/>
      <c r="G332" s="214" t="s">
        <v>2</v>
      </c>
      <c r="H332" s="7"/>
      <c r="I332" s="148">
        <v>200</v>
      </c>
      <c r="J332" s="1">
        <v>55000</v>
      </c>
      <c r="K332" s="1">
        <v>0</v>
      </c>
      <c r="L332" s="131">
        <f>K332+J332</f>
        <v>55000</v>
      </c>
      <c r="M332" s="131"/>
      <c r="N332" s="131">
        <v>55000</v>
      </c>
      <c r="O332" s="176"/>
      <c r="P332" s="169"/>
    </row>
    <row r="333" spans="1:16" s="46" customFormat="1" ht="39" customHeight="1">
      <c r="A333" s="43"/>
      <c r="B333" s="61"/>
      <c r="C333" s="61"/>
      <c r="D333" s="61"/>
      <c r="E333" s="61"/>
      <c r="F333" s="62"/>
      <c r="G333" s="214" t="s">
        <v>4</v>
      </c>
      <c r="H333" s="7"/>
      <c r="I333" s="148">
        <v>600</v>
      </c>
      <c r="J333" s="1">
        <f>51000+10000</f>
        <v>61000</v>
      </c>
      <c r="K333" s="1"/>
      <c r="L333" s="131">
        <f>K333+J333</f>
        <v>61000</v>
      </c>
      <c r="M333" s="131"/>
      <c r="N333" s="131">
        <f>51000+10000</f>
        <v>61000</v>
      </c>
      <c r="O333" s="176"/>
      <c r="P333" s="169"/>
    </row>
    <row r="334" spans="1:16" s="46" customFormat="1" ht="32.25" customHeight="1" hidden="1">
      <c r="A334" s="43"/>
      <c r="B334" s="61"/>
      <c r="C334" s="61"/>
      <c r="D334" s="61"/>
      <c r="E334" s="61"/>
      <c r="F334" s="62"/>
      <c r="G334" s="214"/>
      <c r="H334" s="7"/>
      <c r="I334" s="148"/>
      <c r="J334" s="1"/>
      <c r="K334" s="1"/>
      <c r="L334" s="131"/>
      <c r="M334" s="131"/>
      <c r="N334" s="131"/>
      <c r="O334" s="176"/>
      <c r="P334" s="169"/>
    </row>
    <row r="335" spans="1:16" s="46" customFormat="1" ht="57.75" customHeight="1" hidden="1">
      <c r="A335" s="43"/>
      <c r="B335" s="61"/>
      <c r="C335" s="61"/>
      <c r="D335" s="61"/>
      <c r="E335" s="61"/>
      <c r="F335" s="62"/>
      <c r="G335" s="214" t="s">
        <v>623</v>
      </c>
      <c r="H335" s="7" t="s">
        <v>622</v>
      </c>
      <c r="I335" s="148"/>
      <c r="J335" s="1">
        <f>J336+J337</f>
        <v>0</v>
      </c>
      <c r="K335" s="1">
        <f>K336+K337</f>
        <v>0</v>
      </c>
      <c r="L335" s="131">
        <f>L336+L337</f>
        <v>0</v>
      </c>
      <c r="M335" s="131"/>
      <c r="N335" s="131"/>
      <c r="O335" s="176"/>
      <c r="P335" s="169"/>
    </row>
    <row r="336" spans="1:16" s="46" customFormat="1" ht="32.25" customHeight="1" hidden="1">
      <c r="A336" s="43"/>
      <c r="B336" s="61"/>
      <c r="C336" s="61"/>
      <c r="D336" s="61"/>
      <c r="E336" s="61"/>
      <c r="F336" s="62"/>
      <c r="G336" s="214" t="s">
        <v>2</v>
      </c>
      <c r="H336" s="7"/>
      <c r="I336" s="148">
        <v>200</v>
      </c>
      <c r="J336" s="1"/>
      <c r="K336" s="1">
        <v>0</v>
      </c>
      <c r="L336" s="131">
        <f>K336+J336</f>
        <v>0</v>
      </c>
      <c r="M336" s="131"/>
      <c r="N336" s="131"/>
      <c r="O336" s="176"/>
      <c r="P336" s="169"/>
    </row>
    <row r="337" spans="1:16" s="46" customFormat="1" ht="51.75" customHeight="1" hidden="1">
      <c r="A337" s="43"/>
      <c r="B337" s="61"/>
      <c r="C337" s="61"/>
      <c r="D337" s="61"/>
      <c r="E337" s="61"/>
      <c r="F337" s="62"/>
      <c r="G337" s="214" t="s">
        <v>4</v>
      </c>
      <c r="H337" s="7"/>
      <c r="I337" s="148">
        <v>600</v>
      </c>
      <c r="J337" s="1"/>
      <c r="K337" s="1">
        <v>0</v>
      </c>
      <c r="L337" s="131">
        <f>K337+J337</f>
        <v>0</v>
      </c>
      <c r="M337" s="131"/>
      <c r="N337" s="131"/>
      <c r="O337" s="176"/>
      <c r="P337" s="169"/>
    </row>
    <row r="338" spans="1:16" s="46" customFormat="1" ht="42.75" customHeight="1">
      <c r="A338" s="43"/>
      <c r="B338" s="61"/>
      <c r="C338" s="61"/>
      <c r="D338" s="61"/>
      <c r="E338" s="61"/>
      <c r="F338" s="62"/>
      <c r="G338" s="214" t="s">
        <v>623</v>
      </c>
      <c r="H338" s="7" t="s">
        <v>622</v>
      </c>
      <c r="I338" s="148"/>
      <c r="J338" s="1"/>
      <c r="K338" s="1"/>
      <c r="L338" s="131"/>
      <c r="M338" s="131"/>
      <c r="N338" s="131">
        <f>N339+N340</f>
        <v>64655</v>
      </c>
      <c r="O338" s="176"/>
      <c r="P338" s="169"/>
    </row>
    <row r="339" spans="1:16" s="46" customFormat="1" ht="33" customHeight="1">
      <c r="A339" s="43"/>
      <c r="B339" s="61"/>
      <c r="C339" s="61"/>
      <c r="D339" s="61"/>
      <c r="E339" s="61"/>
      <c r="F339" s="62"/>
      <c r="G339" s="214" t="s">
        <v>2</v>
      </c>
      <c r="H339" s="7"/>
      <c r="I339" s="148">
        <v>200</v>
      </c>
      <c r="J339" s="1"/>
      <c r="K339" s="1"/>
      <c r="L339" s="131"/>
      <c r="M339" s="131"/>
      <c r="N339" s="131">
        <v>44655</v>
      </c>
      <c r="O339" s="176"/>
      <c r="P339" s="169"/>
    </row>
    <row r="340" spans="1:16" s="46" customFormat="1" ht="33" customHeight="1">
      <c r="A340" s="43"/>
      <c r="B340" s="61"/>
      <c r="C340" s="61"/>
      <c r="D340" s="61"/>
      <c r="E340" s="61"/>
      <c r="F340" s="62"/>
      <c r="G340" s="214" t="s">
        <v>4</v>
      </c>
      <c r="H340" s="7"/>
      <c r="I340" s="148">
        <v>600</v>
      </c>
      <c r="J340" s="1"/>
      <c r="K340" s="1"/>
      <c r="L340" s="131"/>
      <c r="M340" s="131"/>
      <c r="N340" s="131">
        <v>20000</v>
      </c>
      <c r="O340" s="176"/>
      <c r="P340" s="169"/>
    </row>
    <row r="341" spans="1:16" ht="66" customHeight="1">
      <c r="A341" s="8"/>
      <c r="B341" s="268" t="s">
        <v>53</v>
      </c>
      <c r="C341" s="268"/>
      <c r="D341" s="268"/>
      <c r="E341" s="268"/>
      <c r="F341" s="269"/>
      <c r="G341" s="218" t="s">
        <v>826</v>
      </c>
      <c r="H341" s="4" t="s">
        <v>368</v>
      </c>
      <c r="I341" s="189" t="s">
        <v>0</v>
      </c>
      <c r="J341" s="5">
        <f>J342</f>
        <v>752154</v>
      </c>
      <c r="K341" s="5">
        <f>K342</f>
        <v>0</v>
      </c>
      <c r="L341" s="131">
        <f>L342</f>
        <v>752154</v>
      </c>
      <c r="M341" s="131">
        <f>M342</f>
        <v>0</v>
      </c>
      <c r="N341" s="131">
        <f>N342</f>
        <v>170000</v>
      </c>
      <c r="O341" s="175"/>
      <c r="P341" s="169"/>
    </row>
    <row r="342" spans="1:16" ht="83.25" customHeight="1">
      <c r="A342" s="8"/>
      <c r="B342" s="276" t="s">
        <v>52</v>
      </c>
      <c r="C342" s="276"/>
      <c r="D342" s="276"/>
      <c r="E342" s="276"/>
      <c r="F342" s="277"/>
      <c r="G342" s="214" t="s">
        <v>827</v>
      </c>
      <c r="H342" s="7" t="s">
        <v>369</v>
      </c>
      <c r="I342" s="148" t="s">
        <v>0</v>
      </c>
      <c r="J342" s="1">
        <f>J343+J346</f>
        <v>752154</v>
      </c>
      <c r="K342" s="1">
        <f>K343+K346</f>
        <v>0</v>
      </c>
      <c r="L342" s="131">
        <f>L343+L346</f>
        <v>752154</v>
      </c>
      <c r="M342" s="131">
        <f>M343+M346</f>
        <v>0</v>
      </c>
      <c r="N342" s="131">
        <f>N343+N346</f>
        <v>170000</v>
      </c>
      <c r="O342" s="175"/>
      <c r="P342" s="169"/>
    </row>
    <row r="343" spans="1:16" ht="91.5" customHeight="1">
      <c r="A343" s="8"/>
      <c r="B343" s="18"/>
      <c r="C343" s="18"/>
      <c r="D343" s="18"/>
      <c r="E343" s="18"/>
      <c r="F343" s="19"/>
      <c r="G343" s="232" t="s">
        <v>735</v>
      </c>
      <c r="H343" s="147" t="s">
        <v>663</v>
      </c>
      <c r="I343" s="148"/>
      <c r="J343" s="1">
        <f aca="true" t="shared" si="9" ref="J343:N344">J344</f>
        <v>752154</v>
      </c>
      <c r="K343" s="1">
        <f t="shared" si="9"/>
        <v>0</v>
      </c>
      <c r="L343" s="131">
        <f t="shared" si="9"/>
        <v>752154</v>
      </c>
      <c r="M343" s="131">
        <f t="shared" si="9"/>
        <v>0</v>
      </c>
      <c r="N343" s="131">
        <f t="shared" si="9"/>
        <v>170000</v>
      </c>
      <c r="O343" s="175"/>
      <c r="P343" s="169"/>
    </row>
    <row r="344" spans="1:16" ht="52.5" customHeight="1">
      <c r="A344" s="8"/>
      <c r="B344" s="270" t="s">
        <v>51</v>
      </c>
      <c r="C344" s="270"/>
      <c r="D344" s="270"/>
      <c r="E344" s="270"/>
      <c r="F344" s="271"/>
      <c r="G344" s="214" t="s">
        <v>664</v>
      </c>
      <c r="H344" s="7" t="s">
        <v>665</v>
      </c>
      <c r="I344" s="148"/>
      <c r="J344" s="1">
        <f t="shared" si="9"/>
        <v>752154</v>
      </c>
      <c r="K344" s="1">
        <f t="shared" si="9"/>
        <v>0</v>
      </c>
      <c r="L344" s="131">
        <f t="shared" si="9"/>
        <v>752154</v>
      </c>
      <c r="M344" s="131">
        <f t="shared" si="9"/>
        <v>0</v>
      </c>
      <c r="N344" s="131">
        <f>N345</f>
        <v>170000</v>
      </c>
      <c r="O344" s="175"/>
      <c r="P344" s="169"/>
    </row>
    <row r="345" spans="1:16" ht="31.5">
      <c r="A345" s="8"/>
      <c r="B345" s="270">
        <v>200</v>
      </c>
      <c r="C345" s="270"/>
      <c r="D345" s="270"/>
      <c r="E345" s="270"/>
      <c r="F345" s="271"/>
      <c r="G345" s="214" t="s">
        <v>2</v>
      </c>
      <c r="H345" s="7" t="s">
        <v>0</v>
      </c>
      <c r="I345" s="148">
        <v>200</v>
      </c>
      <c r="J345" s="1">
        <v>752154</v>
      </c>
      <c r="K345" s="1"/>
      <c r="L345" s="131">
        <f>K345+J345</f>
        <v>752154</v>
      </c>
      <c r="M345" s="131"/>
      <c r="N345" s="131">
        <v>170000</v>
      </c>
      <c r="O345" s="175"/>
      <c r="P345" s="169"/>
    </row>
    <row r="346" spans="1:16" ht="21" customHeight="1" hidden="1">
      <c r="A346" s="8"/>
      <c r="B346" s="24"/>
      <c r="C346" s="24"/>
      <c r="D346" s="24"/>
      <c r="E346" s="24"/>
      <c r="F346" s="25"/>
      <c r="G346" s="233" t="s">
        <v>589</v>
      </c>
      <c r="H346" s="147" t="s">
        <v>587</v>
      </c>
      <c r="I346" s="148"/>
      <c r="J346" s="1">
        <f aca="true" t="shared" si="10" ref="J346:L347">J347</f>
        <v>0</v>
      </c>
      <c r="K346" s="1">
        <f t="shared" si="10"/>
        <v>0</v>
      </c>
      <c r="L346" s="131">
        <f t="shared" si="10"/>
        <v>0</v>
      </c>
      <c r="M346" s="131"/>
      <c r="N346" s="131"/>
      <c r="O346" s="175"/>
      <c r="P346" s="169"/>
    </row>
    <row r="347" spans="1:16" ht="20.25" customHeight="1" hidden="1">
      <c r="A347" s="8"/>
      <c r="B347" s="24"/>
      <c r="C347" s="24"/>
      <c r="D347" s="24"/>
      <c r="E347" s="24"/>
      <c r="F347" s="25"/>
      <c r="G347" s="214" t="s">
        <v>590</v>
      </c>
      <c r="H347" s="7" t="s">
        <v>588</v>
      </c>
      <c r="I347" s="148"/>
      <c r="J347" s="1">
        <f t="shared" si="10"/>
        <v>0</v>
      </c>
      <c r="K347" s="1">
        <f t="shared" si="10"/>
        <v>0</v>
      </c>
      <c r="L347" s="131">
        <f t="shared" si="10"/>
        <v>0</v>
      </c>
      <c r="M347" s="131"/>
      <c r="N347" s="131"/>
      <c r="O347" s="175"/>
      <c r="P347" s="169"/>
    </row>
    <row r="348" spans="1:16" ht="30.75" customHeight="1" hidden="1">
      <c r="A348" s="8"/>
      <c r="B348" s="24"/>
      <c r="C348" s="24"/>
      <c r="D348" s="24"/>
      <c r="E348" s="24"/>
      <c r="F348" s="25"/>
      <c r="G348" s="214" t="s">
        <v>2</v>
      </c>
      <c r="H348" s="7"/>
      <c r="I348" s="148">
        <v>200</v>
      </c>
      <c r="J348" s="1"/>
      <c r="K348" s="1"/>
      <c r="L348" s="131">
        <f>K348+J348</f>
        <v>0</v>
      </c>
      <c r="M348" s="131"/>
      <c r="N348" s="131"/>
      <c r="O348" s="175"/>
      <c r="P348" s="169"/>
    </row>
    <row r="349" spans="1:16" s="112" customFormat="1" ht="47.25">
      <c r="A349" s="111"/>
      <c r="B349" s="272" t="s">
        <v>50</v>
      </c>
      <c r="C349" s="272"/>
      <c r="D349" s="272"/>
      <c r="E349" s="272"/>
      <c r="F349" s="273"/>
      <c r="G349" s="218" t="s">
        <v>828</v>
      </c>
      <c r="H349" s="4" t="s">
        <v>370</v>
      </c>
      <c r="I349" s="189" t="s">
        <v>0</v>
      </c>
      <c r="J349" s="5">
        <f>J350+J378+J389+J396</f>
        <v>53971563</v>
      </c>
      <c r="K349" s="5">
        <f>K350+K378+K389+K396</f>
        <v>450287</v>
      </c>
      <c r="L349" s="131">
        <f>L350+L378+L389+L396</f>
        <v>51710089</v>
      </c>
      <c r="M349" s="131">
        <f>M350+M378+M389+M396</f>
        <v>0</v>
      </c>
      <c r="N349" s="133">
        <f>N350+N378+N389+N396+N438+N445</f>
        <v>86165305</v>
      </c>
      <c r="O349" s="175"/>
      <c r="P349" s="167"/>
    </row>
    <row r="350" spans="1:16" s="112" customFormat="1" ht="49.5" customHeight="1">
      <c r="A350" s="111"/>
      <c r="B350" s="113"/>
      <c r="C350" s="113"/>
      <c r="D350" s="113"/>
      <c r="E350" s="113"/>
      <c r="F350" s="114"/>
      <c r="G350" s="218" t="s">
        <v>829</v>
      </c>
      <c r="H350" s="4" t="s">
        <v>371</v>
      </c>
      <c r="I350" s="148" t="s">
        <v>0</v>
      </c>
      <c r="J350" s="1">
        <f>J353+J420+J425</f>
        <v>53971563</v>
      </c>
      <c r="K350" s="1">
        <f>K353+K420</f>
        <v>450287</v>
      </c>
      <c r="L350" s="131">
        <f>L353+L420</f>
        <v>51710089</v>
      </c>
      <c r="M350" s="131">
        <f>M353+M420+M425</f>
        <v>0</v>
      </c>
      <c r="N350" s="131">
        <f>N353+N420+N425+N435+N430+N442</f>
        <v>70406651</v>
      </c>
      <c r="O350" s="150"/>
      <c r="P350" s="169"/>
    </row>
    <row r="351" spans="1:16" s="112" customFormat="1" ht="31.5" hidden="1">
      <c r="A351" s="111"/>
      <c r="B351" s="113"/>
      <c r="C351" s="113"/>
      <c r="D351" s="113"/>
      <c r="E351" s="113"/>
      <c r="F351" s="114"/>
      <c r="G351" s="214" t="s">
        <v>303</v>
      </c>
      <c r="H351" s="121" t="s">
        <v>302</v>
      </c>
      <c r="I351" s="148"/>
      <c r="J351" s="1">
        <f>J352</f>
        <v>0</v>
      </c>
      <c r="K351" s="1"/>
      <c r="L351" s="131"/>
      <c r="M351" s="131"/>
      <c r="N351" s="131"/>
      <c r="O351" s="175"/>
      <c r="P351" s="169"/>
    </row>
    <row r="352" spans="1:16" s="112" customFormat="1" ht="36" customHeight="1" hidden="1">
      <c r="A352" s="111"/>
      <c r="B352" s="113"/>
      <c r="C352" s="113"/>
      <c r="D352" s="113"/>
      <c r="E352" s="113"/>
      <c r="F352" s="114"/>
      <c r="G352" s="214" t="s">
        <v>4</v>
      </c>
      <c r="H352" s="147" t="s">
        <v>372</v>
      </c>
      <c r="I352" s="148">
        <v>600</v>
      </c>
      <c r="J352" s="1"/>
      <c r="K352" s="1"/>
      <c r="L352" s="131"/>
      <c r="M352" s="131"/>
      <c r="N352" s="131"/>
      <c r="O352" s="175"/>
      <c r="P352" s="169"/>
    </row>
    <row r="353" spans="1:16" s="112" customFormat="1" ht="36.75" customHeight="1">
      <c r="A353" s="111"/>
      <c r="B353" s="113"/>
      <c r="C353" s="113"/>
      <c r="D353" s="113"/>
      <c r="E353" s="113"/>
      <c r="F353" s="114"/>
      <c r="G353" s="212" t="s">
        <v>378</v>
      </c>
      <c r="H353" s="147" t="s">
        <v>372</v>
      </c>
      <c r="I353" s="148"/>
      <c r="J353" s="1">
        <f>J354+J356+J358+J363+J365+J372+J414+J404+J406+J416+J418</f>
        <v>51919814</v>
      </c>
      <c r="K353" s="1">
        <f>K354+K356+K358+K363+K365+K372+K414+K404+K406+K416+K418</f>
        <v>155557</v>
      </c>
      <c r="L353" s="131">
        <f>L354+L356+L358+L363+L365+L372+L414+L404+L406+L416+L418</f>
        <v>51415359</v>
      </c>
      <c r="M353" s="131">
        <f>M354+M356+M358+M363+M365+M372+M414+M404+M406+M416+M418</f>
        <v>-394348</v>
      </c>
      <c r="N353" s="132">
        <f>N354+N356+N358+N363+N365+N372+N414+N404+N406+N416+N418+N423+N412+N410+N408</f>
        <v>69044591</v>
      </c>
      <c r="O353" s="179"/>
      <c r="P353" s="170"/>
    </row>
    <row r="354" spans="1:16" ht="31.5">
      <c r="A354" s="8"/>
      <c r="B354" s="270" t="s">
        <v>49</v>
      </c>
      <c r="C354" s="270"/>
      <c r="D354" s="270"/>
      <c r="E354" s="270"/>
      <c r="F354" s="271"/>
      <c r="G354" s="214" t="s">
        <v>98</v>
      </c>
      <c r="H354" s="7" t="s">
        <v>373</v>
      </c>
      <c r="I354" s="148" t="s">
        <v>0</v>
      </c>
      <c r="J354" s="1">
        <f>J355</f>
        <v>3614235</v>
      </c>
      <c r="K354" s="1">
        <f>K355</f>
        <v>0</v>
      </c>
      <c r="L354" s="131">
        <f>L355</f>
        <v>3614235</v>
      </c>
      <c r="M354" s="131">
        <f>M355</f>
        <v>0</v>
      </c>
      <c r="N354" s="131">
        <f>N355</f>
        <v>4276950</v>
      </c>
      <c r="O354" s="175"/>
      <c r="P354" s="169"/>
    </row>
    <row r="355" spans="1:16" ht="33.75" customHeight="1">
      <c r="A355" s="8"/>
      <c r="B355" s="270">
        <v>600</v>
      </c>
      <c r="C355" s="270"/>
      <c r="D355" s="270"/>
      <c r="E355" s="270"/>
      <c r="F355" s="271"/>
      <c r="G355" s="214" t="s">
        <v>4</v>
      </c>
      <c r="H355" s="121"/>
      <c r="I355" s="148">
        <v>600</v>
      </c>
      <c r="J355" s="1">
        <v>3614235</v>
      </c>
      <c r="K355" s="1"/>
      <c r="L355" s="131">
        <f>K355+J355</f>
        <v>3614235</v>
      </c>
      <c r="M355" s="131"/>
      <c r="N355" s="131">
        <v>4276950</v>
      </c>
      <c r="O355" s="175"/>
      <c r="P355" s="169"/>
    </row>
    <row r="356" spans="1:16" ht="31.5">
      <c r="A356" s="8"/>
      <c r="B356" s="260">
        <v>800</v>
      </c>
      <c r="C356" s="260"/>
      <c r="D356" s="260"/>
      <c r="E356" s="260"/>
      <c r="F356" s="261"/>
      <c r="G356" s="214" t="s">
        <v>99</v>
      </c>
      <c r="H356" s="7" t="s">
        <v>374</v>
      </c>
      <c r="I356" s="148"/>
      <c r="J356" s="1">
        <f>J357</f>
        <v>2221100</v>
      </c>
      <c r="K356" s="1">
        <f>K357</f>
        <v>0</v>
      </c>
      <c r="L356" s="131">
        <f>L357</f>
        <v>2221100</v>
      </c>
      <c r="M356" s="131">
        <f>M357</f>
        <v>0</v>
      </c>
      <c r="N356" s="131">
        <f>N357</f>
        <v>2150300</v>
      </c>
      <c r="O356" s="175"/>
      <c r="P356" s="169"/>
    </row>
    <row r="357" spans="1:16" ht="37.5" customHeight="1">
      <c r="A357" s="8"/>
      <c r="B357" s="252" t="s">
        <v>47</v>
      </c>
      <c r="C357" s="252"/>
      <c r="D357" s="252"/>
      <c r="E357" s="252"/>
      <c r="F357" s="253"/>
      <c r="G357" s="214" t="s">
        <v>4</v>
      </c>
      <c r="H357" s="121"/>
      <c r="I357" s="148">
        <v>600</v>
      </c>
      <c r="J357" s="1">
        <v>2221100</v>
      </c>
      <c r="K357" s="1"/>
      <c r="L357" s="131">
        <f>K357+J357</f>
        <v>2221100</v>
      </c>
      <c r="M357" s="131"/>
      <c r="N357" s="131">
        <v>2150300</v>
      </c>
      <c r="O357" s="175"/>
      <c r="P357" s="169"/>
    </row>
    <row r="358" spans="1:16" ht="36.75" customHeight="1">
      <c r="A358" s="8"/>
      <c r="B358" s="260">
        <v>300</v>
      </c>
      <c r="C358" s="260"/>
      <c r="D358" s="260"/>
      <c r="E358" s="260"/>
      <c r="F358" s="261"/>
      <c r="G358" s="214" t="s">
        <v>48</v>
      </c>
      <c r="H358" s="7" t="s">
        <v>375</v>
      </c>
      <c r="I358" s="148"/>
      <c r="J358" s="1">
        <f>J362+J359</f>
        <v>20620112</v>
      </c>
      <c r="K358" s="1">
        <f>K359+K361</f>
        <v>0</v>
      </c>
      <c r="L358" s="131">
        <f>L359+L361</f>
        <v>19960100</v>
      </c>
      <c r="M358" s="131">
        <f>M362+M359</f>
        <v>-394348</v>
      </c>
      <c r="N358" s="131">
        <f>N362+N359</f>
        <v>28147640</v>
      </c>
      <c r="O358" s="150"/>
      <c r="P358" s="169"/>
    </row>
    <row r="359" spans="1:16" ht="36" customHeight="1">
      <c r="A359" s="8"/>
      <c r="B359" s="252" t="s">
        <v>46</v>
      </c>
      <c r="C359" s="252"/>
      <c r="D359" s="252"/>
      <c r="E359" s="252"/>
      <c r="F359" s="253"/>
      <c r="G359" s="214" t="s">
        <v>4</v>
      </c>
      <c r="H359" s="7"/>
      <c r="I359" s="148">
        <v>600</v>
      </c>
      <c r="J359" s="1">
        <f>19635100+325000</f>
        <v>19960100</v>
      </c>
      <c r="K359" s="1"/>
      <c r="L359" s="131">
        <f>K359+J359</f>
        <v>19960100</v>
      </c>
      <c r="M359" s="131"/>
      <c r="N359" s="131">
        <v>24509700</v>
      </c>
      <c r="O359" s="150"/>
      <c r="P359" s="169"/>
    </row>
    <row r="360" spans="1:16" ht="15.75" hidden="1">
      <c r="A360" s="8"/>
      <c r="B360" s="24"/>
      <c r="C360" s="24"/>
      <c r="D360" s="24"/>
      <c r="E360" s="24"/>
      <c r="F360" s="25"/>
      <c r="G360" s="214" t="s">
        <v>1</v>
      </c>
      <c r="H360" s="7"/>
      <c r="I360" s="148">
        <v>800</v>
      </c>
      <c r="J360" s="1">
        <v>1193899</v>
      </c>
      <c r="K360" s="1"/>
      <c r="L360" s="131"/>
      <c r="M360" s="131"/>
      <c r="N360" s="131"/>
      <c r="O360" s="175"/>
      <c r="P360" s="169"/>
    </row>
    <row r="361" spans="1:16" ht="15.75" hidden="1">
      <c r="A361" s="8"/>
      <c r="B361" s="24"/>
      <c r="C361" s="24"/>
      <c r="D361" s="24"/>
      <c r="E361" s="24"/>
      <c r="F361" s="25"/>
      <c r="G361" s="214" t="s">
        <v>1</v>
      </c>
      <c r="H361" s="7"/>
      <c r="I361" s="148">
        <v>800</v>
      </c>
      <c r="J361" s="1">
        <v>0</v>
      </c>
      <c r="K361" s="1"/>
      <c r="L361" s="131"/>
      <c r="M361" s="131"/>
      <c r="N361" s="131"/>
      <c r="O361" s="175"/>
      <c r="P361" s="169"/>
    </row>
    <row r="362" spans="1:16" ht="16.5" customHeight="1">
      <c r="A362" s="8"/>
      <c r="B362" s="24"/>
      <c r="C362" s="24"/>
      <c r="D362" s="24"/>
      <c r="E362" s="24"/>
      <c r="F362" s="25"/>
      <c r="G362" s="214" t="s">
        <v>1</v>
      </c>
      <c r="H362" s="7"/>
      <c r="I362" s="148">
        <v>800</v>
      </c>
      <c r="J362" s="1">
        <v>660012</v>
      </c>
      <c r="K362" s="1"/>
      <c r="L362" s="131"/>
      <c r="M362" s="131">
        <v>-394348</v>
      </c>
      <c r="N362" s="131">
        <f>5000000-1362060</f>
        <v>3637940</v>
      </c>
      <c r="O362" s="150"/>
      <c r="P362" s="169"/>
    </row>
    <row r="363" spans="1:16" ht="31.5">
      <c r="A363" s="8"/>
      <c r="B363" s="260">
        <v>800</v>
      </c>
      <c r="C363" s="260"/>
      <c r="D363" s="260"/>
      <c r="E363" s="260"/>
      <c r="F363" s="261"/>
      <c r="G363" s="214" t="s">
        <v>100</v>
      </c>
      <c r="H363" s="7" t="s">
        <v>522</v>
      </c>
      <c r="I363" s="148"/>
      <c r="J363" s="1">
        <f>J364</f>
        <v>8811500</v>
      </c>
      <c r="K363" s="1">
        <f>K364</f>
        <v>0</v>
      </c>
      <c r="L363" s="131">
        <f>L364</f>
        <v>8811500</v>
      </c>
      <c r="M363" s="131">
        <f>M364</f>
        <v>0</v>
      </c>
      <c r="N363" s="131">
        <f>N364</f>
        <v>11065000</v>
      </c>
      <c r="O363" s="175"/>
      <c r="P363" s="169"/>
    </row>
    <row r="364" spans="1:16" ht="33" customHeight="1">
      <c r="A364" s="8"/>
      <c r="B364" s="252" t="s">
        <v>45</v>
      </c>
      <c r="C364" s="252"/>
      <c r="D364" s="252"/>
      <c r="E364" s="252"/>
      <c r="F364" s="253"/>
      <c r="G364" s="214" t="s">
        <v>4</v>
      </c>
      <c r="H364" s="121"/>
      <c r="I364" s="148">
        <v>600</v>
      </c>
      <c r="J364" s="1">
        <v>8811500</v>
      </c>
      <c r="K364" s="1"/>
      <c r="L364" s="131">
        <f>K364+J364</f>
        <v>8811500</v>
      </c>
      <c r="M364" s="131"/>
      <c r="N364" s="131">
        <v>11065000</v>
      </c>
      <c r="O364" s="175"/>
      <c r="P364" s="169"/>
    </row>
    <row r="365" spans="1:16" ht="21.75" customHeight="1">
      <c r="A365" s="8"/>
      <c r="B365" s="270">
        <v>200</v>
      </c>
      <c r="C365" s="270"/>
      <c r="D365" s="270"/>
      <c r="E365" s="270"/>
      <c r="F365" s="271"/>
      <c r="G365" s="214" t="s">
        <v>101</v>
      </c>
      <c r="H365" s="7" t="s">
        <v>376</v>
      </c>
      <c r="I365" s="148"/>
      <c r="J365" s="1">
        <f>J366+J367+J368</f>
        <v>7540000</v>
      </c>
      <c r="K365" s="1">
        <f>K366+K367+K368</f>
        <v>0</v>
      </c>
      <c r="L365" s="131">
        <f>L366+L367+L368</f>
        <v>7540000</v>
      </c>
      <c r="M365" s="131">
        <f>M366+M367+M368</f>
        <v>0</v>
      </c>
      <c r="N365" s="131">
        <f>N366+N367+N368</f>
        <v>9290000</v>
      </c>
      <c r="O365" s="175"/>
      <c r="P365" s="169"/>
    </row>
    <row r="366" spans="1:16" ht="64.5" customHeight="1">
      <c r="A366" s="8"/>
      <c r="B366" s="260">
        <v>300</v>
      </c>
      <c r="C366" s="260"/>
      <c r="D366" s="260"/>
      <c r="E366" s="260"/>
      <c r="F366" s="261"/>
      <c r="G366" s="214" t="s">
        <v>3</v>
      </c>
      <c r="H366" s="7" t="s">
        <v>0</v>
      </c>
      <c r="I366" s="148">
        <v>100</v>
      </c>
      <c r="J366" s="1">
        <v>6803100</v>
      </c>
      <c r="K366" s="1"/>
      <c r="L366" s="131">
        <f>K366+J366</f>
        <v>6803100</v>
      </c>
      <c r="M366" s="131"/>
      <c r="N366" s="131">
        <f>6621000+1450000+440000</f>
        <v>8511000</v>
      </c>
      <c r="O366" s="175"/>
      <c r="P366" s="169"/>
    </row>
    <row r="367" spans="1:16" ht="30" customHeight="1">
      <c r="A367" s="8"/>
      <c r="B367" s="252" t="s">
        <v>44</v>
      </c>
      <c r="C367" s="252"/>
      <c r="D367" s="252"/>
      <c r="E367" s="252"/>
      <c r="F367" s="253"/>
      <c r="G367" s="214" t="s">
        <v>2</v>
      </c>
      <c r="H367" s="7"/>
      <c r="I367" s="148">
        <v>200</v>
      </c>
      <c r="J367" s="1">
        <v>705900</v>
      </c>
      <c r="K367" s="1"/>
      <c r="L367" s="131">
        <f>K367+J367</f>
        <v>705900</v>
      </c>
      <c r="M367" s="131"/>
      <c r="N367" s="131">
        <f>753000</f>
        <v>753000</v>
      </c>
      <c r="O367" s="150"/>
      <c r="P367" s="169"/>
    </row>
    <row r="368" spans="1:16" ht="14.25" customHeight="1">
      <c r="A368" s="8"/>
      <c r="B368" s="260">
        <v>300</v>
      </c>
      <c r="C368" s="260"/>
      <c r="D368" s="260"/>
      <c r="E368" s="260"/>
      <c r="F368" s="261"/>
      <c r="G368" s="214" t="s">
        <v>1</v>
      </c>
      <c r="H368" s="7" t="s">
        <v>0</v>
      </c>
      <c r="I368" s="148">
        <v>800</v>
      </c>
      <c r="J368" s="1">
        <v>31000</v>
      </c>
      <c r="K368" s="1"/>
      <c r="L368" s="131">
        <f>K368+J368</f>
        <v>31000</v>
      </c>
      <c r="M368" s="131"/>
      <c r="N368" s="131">
        <v>26000</v>
      </c>
      <c r="O368" s="175"/>
      <c r="P368" s="169"/>
    </row>
    <row r="369" spans="1:16" ht="15.75" customHeight="1" hidden="1">
      <c r="A369" s="8"/>
      <c r="B369" s="24"/>
      <c r="C369" s="24"/>
      <c r="D369" s="24"/>
      <c r="E369" s="24"/>
      <c r="F369" s="25"/>
      <c r="G369" s="214"/>
      <c r="H369" s="121"/>
      <c r="I369" s="148"/>
      <c r="J369" s="1"/>
      <c r="K369" s="1"/>
      <c r="L369" s="131"/>
      <c r="M369" s="131"/>
      <c r="N369" s="131"/>
      <c r="O369" s="175"/>
      <c r="P369" s="169"/>
    </row>
    <row r="370" spans="1:16" ht="15.75" customHeight="1" hidden="1">
      <c r="A370" s="8"/>
      <c r="B370" s="24"/>
      <c r="C370" s="24"/>
      <c r="D370" s="24"/>
      <c r="E370" s="24"/>
      <c r="F370" s="25"/>
      <c r="G370" s="214"/>
      <c r="H370" s="186"/>
      <c r="I370" s="148"/>
      <c r="J370" s="1"/>
      <c r="K370" s="1"/>
      <c r="L370" s="131"/>
      <c r="M370" s="131"/>
      <c r="N370" s="131"/>
      <c r="O370" s="175"/>
      <c r="P370" s="169"/>
    </row>
    <row r="371" spans="1:16" ht="15.75" customHeight="1" hidden="1">
      <c r="A371" s="8"/>
      <c r="B371" s="24"/>
      <c r="C371" s="24"/>
      <c r="D371" s="24"/>
      <c r="E371" s="24"/>
      <c r="F371" s="25"/>
      <c r="G371" s="214"/>
      <c r="H371" s="7"/>
      <c r="I371" s="148"/>
      <c r="J371" s="1"/>
      <c r="K371" s="1"/>
      <c r="L371" s="131"/>
      <c r="M371" s="131"/>
      <c r="N371" s="131"/>
      <c r="O371" s="175"/>
      <c r="P371" s="169"/>
    </row>
    <row r="372" spans="1:16" ht="31.5" hidden="1">
      <c r="A372" s="8"/>
      <c r="B372" s="24"/>
      <c r="C372" s="24"/>
      <c r="D372" s="24"/>
      <c r="E372" s="24"/>
      <c r="F372" s="25"/>
      <c r="G372" s="214" t="s">
        <v>149</v>
      </c>
      <c r="H372" s="7" t="s">
        <v>377</v>
      </c>
      <c r="I372" s="189"/>
      <c r="J372" s="1">
        <f>J373</f>
        <v>0</v>
      </c>
      <c r="K372" s="5"/>
      <c r="L372" s="131"/>
      <c r="M372" s="131"/>
      <c r="N372" s="131"/>
      <c r="O372" s="175"/>
      <c r="P372" s="169"/>
    </row>
    <row r="373" spans="1:16" ht="31.5" hidden="1">
      <c r="A373" s="8"/>
      <c r="B373" s="24"/>
      <c r="C373" s="24"/>
      <c r="D373" s="24"/>
      <c r="E373" s="24"/>
      <c r="F373" s="25"/>
      <c r="G373" s="214" t="s">
        <v>4</v>
      </c>
      <c r="H373" s="121"/>
      <c r="I373" s="148">
        <v>600</v>
      </c>
      <c r="J373" s="1">
        <v>0</v>
      </c>
      <c r="K373" s="1"/>
      <c r="L373" s="131"/>
      <c r="M373" s="131"/>
      <c r="N373" s="131"/>
      <c r="O373" s="175"/>
      <c r="P373" s="169"/>
    </row>
    <row r="374" spans="1:16" ht="31.5" hidden="1">
      <c r="A374" s="8"/>
      <c r="B374" s="24"/>
      <c r="C374" s="24"/>
      <c r="D374" s="24"/>
      <c r="E374" s="24"/>
      <c r="F374" s="25"/>
      <c r="G374" s="214" t="s">
        <v>255</v>
      </c>
      <c r="H374" s="121" t="s">
        <v>251</v>
      </c>
      <c r="I374" s="189"/>
      <c r="J374" s="1">
        <f>J375</f>
        <v>49679</v>
      </c>
      <c r="K374" s="5"/>
      <c r="L374" s="131"/>
      <c r="M374" s="131"/>
      <c r="N374" s="131"/>
      <c r="O374" s="175"/>
      <c r="P374" s="169"/>
    </row>
    <row r="375" spans="1:16" ht="33.75" customHeight="1" hidden="1">
      <c r="A375" s="8"/>
      <c r="B375" s="24"/>
      <c r="C375" s="24"/>
      <c r="D375" s="24"/>
      <c r="E375" s="24"/>
      <c r="F375" s="25"/>
      <c r="G375" s="226" t="s">
        <v>4</v>
      </c>
      <c r="H375" s="197"/>
      <c r="I375" s="197">
        <v>600</v>
      </c>
      <c r="J375" s="151">
        <v>49679</v>
      </c>
      <c r="K375" s="131"/>
      <c r="L375" s="131"/>
      <c r="M375" s="131"/>
      <c r="N375" s="131"/>
      <c r="O375" s="175"/>
      <c r="P375" s="169"/>
    </row>
    <row r="376" spans="1:16" ht="15" customHeight="1" hidden="1">
      <c r="A376" s="8"/>
      <c r="B376" s="24"/>
      <c r="C376" s="24"/>
      <c r="D376" s="24"/>
      <c r="E376" s="24"/>
      <c r="F376" s="25"/>
      <c r="G376" s="226" t="s">
        <v>257</v>
      </c>
      <c r="H376" s="190" t="s">
        <v>256</v>
      </c>
      <c r="I376" s="197"/>
      <c r="J376" s="1">
        <f>J377</f>
        <v>2586933</v>
      </c>
      <c r="K376" s="131"/>
      <c r="L376" s="131"/>
      <c r="M376" s="131"/>
      <c r="N376" s="131"/>
      <c r="O376" s="175"/>
      <c r="P376" s="169"/>
    </row>
    <row r="377" spans="1:16" ht="33.75" customHeight="1" hidden="1">
      <c r="A377" s="8"/>
      <c r="B377" s="24"/>
      <c r="C377" s="24"/>
      <c r="D377" s="24"/>
      <c r="E377" s="24"/>
      <c r="F377" s="25"/>
      <c r="G377" s="226" t="s">
        <v>4</v>
      </c>
      <c r="H377" s="197"/>
      <c r="I377" s="197">
        <v>600</v>
      </c>
      <c r="J377" s="151">
        <v>2586933</v>
      </c>
      <c r="K377" s="131"/>
      <c r="L377" s="131"/>
      <c r="M377" s="131"/>
      <c r="N377" s="131"/>
      <c r="O377" s="175"/>
      <c r="P377" s="169"/>
    </row>
    <row r="378" spans="1:16" ht="50.25" customHeight="1" hidden="1">
      <c r="A378" s="8"/>
      <c r="B378" s="252" t="s">
        <v>43</v>
      </c>
      <c r="C378" s="252"/>
      <c r="D378" s="252"/>
      <c r="E378" s="252"/>
      <c r="F378" s="253"/>
      <c r="G378" s="218" t="s">
        <v>300</v>
      </c>
      <c r="H378" s="121" t="s">
        <v>102</v>
      </c>
      <c r="I378" s="148"/>
      <c r="J378" s="1">
        <f>J379</f>
        <v>0</v>
      </c>
      <c r="K378" s="1"/>
      <c r="L378" s="131"/>
      <c r="M378" s="131"/>
      <c r="N378" s="131"/>
      <c r="O378" s="175"/>
      <c r="P378" s="169"/>
    </row>
    <row r="379" spans="1:16" ht="47.25" hidden="1">
      <c r="A379" s="8"/>
      <c r="B379" s="260">
        <v>500</v>
      </c>
      <c r="C379" s="260"/>
      <c r="D379" s="260"/>
      <c r="E379" s="260"/>
      <c r="F379" s="261"/>
      <c r="G379" s="214" t="s">
        <v>301</v>
      </c>
      <c r="H379" s="121" t="s">
        <v>103</v>
      </c>
      <c r="I379" s="148"/>
      <c r="J379" s="1">
        <f>J381+J380</f>
        <v>0</v>
      </c>
      <c r="K379" s="1"/>
      <c r="L379" s="131"/>
      <c r="M379" s="131"/>
      <c r="N379" s="131"/>
      <c r="O379" s="175"/>
      <c r="P379" s="169"/>
    </row>
    <row r="380" spans="1:16" ht="31.5" hidden="1">
      <c r="A380" s="8"/>
      <c r="B380" s="24"/>
      <c r="C380" s="24"/>
      <c r="D380" s="24"/>
      <c r="E380" s="24"/>
      <c r="F380" s="25"/>
      <c r="G380" s="214" t="s">
        <v>2</v>
      </c>
      <c r="H380" s="121"/>
      <c r="I380" s="148">
        <v>200</v>
      </c>
      <c r="J380" s="1">
        <v>0</v>
      </c>
      <c r="K380" s="1"/>
      <c r="L380" s="131"/>
      <c r="M380" s="131"/>
      <c r="N380" s="131"/>
      <c r="O380" s="175"/>
      <c r="P380" s="169"/>
    </row>
    <row r="381" spans="1:16" ht="39" customHeight="1" hidden="1">
      <c r="A381" s="8"/>
      <c r="B381" s="24"/>
      <c r="C381" s="24"/>
      <c r="D381" s="24"/>
      <c r="E381" s="24"/>
      <c r="F381" s="25"/>
      <c r="G381" s="214" t="s">
        <v>4</v>
      </c>
      <c r="H381" s="121"/>
      <c r="I381" s="148">
        <v>600</v>
      </c>
      <c r="J381" s="1">
        <v>0</v>
      </c>
      <c r="K381" s="1"/>
      <c r="L381" s="131"/>
      <c r="M381" s="131"/>
      <c r="N381" s="131"/>
      <c r="O381" s="175"/>
      <c r="P381" s="169"/>
    </row>
    <row r="382" spans="1:16" ht="54.75" customHeight="1" hidden="1">
      <c r="A382" s="8"/>
      <c r="B382" s="24"/>
      <c r="C382" s="24"/>
      <c r="D382" s="24"/>
      <c r="E382" s="24"/>
      <c r="F382" s="25"/>
      <c r="G382" s="212" t="s">
        <v>523</v>
      </c>
      <c r="H382" s="180" t="s">
        <v>472</v>
      </c>
      <c r="I382" s="148"/>
      <c r="J382" s="1">
        <f>J385+J387+J383</f>
        <v>0</v>
      </c>
      <c r="K382" s="1"/>
      <c r="L382" s="131"/>
      <c r="M382" s="131"/>
      <c r="N382" s="131"/>
      <c r="O382" s="175"/>
      <c r="P382" s="169"/>
    </row>
    <row r="383" spans="1:16" ht="48.75" customHeight="1" hidden="1">
      <c r="A383" s="8"/>
      <c r="B383" s="24"/>
      <c r="C383" s="24"/>
      <c r="D383" s="24"/>
      <c r="E383" s="24"/>
      <c r="F383" s="25"/>
      <c r="G383" s="214" t="s">
        <v>520</v>
      </c>
      <c r="H383" s="121" t="s">
        <v>521</v>
      </c>
      <c r="I383" s="148"/>
      <c r="J383" s="1">
        <f>J384</f>
        <v>0</v>
      </c>
      <c r="K383" s="1"/>
      <c r="L383" s="131"/>
      <c r="M383" s="131"/>
      <c r="N383" s="131"/>
      <c r="O383" s="175"/>
      <c r="P383" s="169"/>
    </row>
    <row r="384" spans="1:16" ht="38.25" customHeight="1" hidden="1">
      <c r="A384" s="8"/>
      <c r="B384" s="24"/>
      <c r="C384" s="24"/>
      <c r="D384" s="24"/>
      <c r="E384" s="24"/>
      <c r="F384" s="25"/>
      <c r="G384" s="214" t="s">
        <v>4</v>
      </c>
      <c r="H384" s="121"/>
      <c r="I384" s="148">
        <v>600</v>
      </c>
      <c r="J384" s="1">
        <v>0</v>
      </c>
      <c r="K384" s="1"/>
      <c r="L384" s="131"/>
      <c r="M384" s="131"/>
      <c r="N384" s="131"/>
      <c r="O384" s="175"/>
      <c r="P384" s="169"/>
    </row>
    <row r="385" spans="1:16" ht="31.5" customHeight="1" hidden="1">
      <c r="A385" s="8"/>
      <c r="B385" s="24"/>
      <c r="C385" s="24"/>
      <c r="D385" s="24"/>
      <c r="E385" s="24"/>
      <c r="F385" s="25"/>
      <c r="G385" s="214" t="s">
        <v>507</v>
      </c>
      <c r="H385" s="121" t="s">
        <v>506</v>
      </c>
      <c r="I385" s="148"/>
      <c r="J385" s="1">
        <f>J386</f>
        <v>0</v>
      </c>
      <c r="K385" s="1"/>
      <c r="L385" s="131"/>
      <c r="M385" s="131"/>
      <c r="N385" s="131"/>
      <c r="O385" s="175"/>
      <c r="P385" s="169"/>
    </row>
    <row r="386" spans="1:16" ht="32.25" customHeight="1" hidden="1">
      <c r="A386" s="8"/>
      <c r="B386" s="24"/>
      <c r="C386" s="24"/>
      <c r="D386" s="24"/>
      <c r="E386" s="24"/>
      <c r="F386" s="25"/>
      <c r="G386" s="214" t="s">
        <v>4</v>
      </c>
      <c r="H386" s="121"/>
      <c r="I386" s="148">
        <v>600</v>
      </c>
      <c r="J386" s="1">
        <v>0</v>
      </c>
      <c r="K386" s="1"/>
      <c r="L386" s="131"/>
      <c r="M386" s="131"/>
      <c r="N386" s="131"/>
      <c r="O386" s="175"/>
      <c r="P386" s="169"/>
    </row>
    <row r="387" spans="1:16" ht="39" customHeight="1" hidden="1">
      <c r="A387" s="8"/>
      <c r="B387" s="24"/>
      <c r="C387" s="24"/>
      <c r="D387" s="24"/>
      <c r="E387" s="24"/>
      <c r="F387" s="25"/>
      <c r="G387" s="214" t="s">
        <v>474</v>
      </c>
      <c r="H387" s="121" t="s">
        <v>473</v>
      </c>
      <c r="I387" s="148"/>
      <c r="J387" s="1">
        <f>J388</f>
        <v>0</v>
      </c>
      <c r="K387" s="1"/>
      <c r="L387" s="131"/>
      <c r="M387" s="131"/>
      <c r="N387" s="131"/>
      <c r="O387" s="175"/>
      <c r="P387" s="169"/>
    </row>
    <row r="388" spans="1:16" ht="39" customHeight="1" hidden="1">
      <c r="A388" s="8"/>
      <c r="B388" s="24"/>
      <c r="C388" s="24"/>
      <c r="D388" s="24"/>
      <c r="E388" s="24"/>
      <c r="F388" s="25"/>
      <c r="G388" s="214" t="s">
        <v>4</v>
      </c>
      <c r="H388" s="121"/>
      <c r="I388" s="148">
        <v>600</v>
      </c>
      <c r="J388" s="1"/>
      <c r="K388" s="1"/>
      <c r="L388" s="131"/>
      <c r="M388" s="131"/>
      <c r="N388" s="131"/>
      <c r="O388" s="175"/>
      <c r="P388" s="169"/>
    </row>
    <row r="389" spans="1:16" ht="63" hidden="1">
      <c r="A389" s="8"/>
      <c r="B389" s="252" t="s">
        <v>42</v>
      </c>
      <c r="C389" s="252"/>
      <c r="D389" s="252"/>
      <c r="E389" s="252"/>
      <c r="F389" s="253"/>
      <c r="G389" s="218" t="s">
        <v>537</v>
      </c>
      <c r="H389" s="4" t="s">
        <v>383</v>
      </c>
      <c r="I389" s="148" t="s">
        <v>0</v>
      </c>
      <c r="J389" s="1">
        <f>J390</f>
        <v>0</v>
      </c>
      <c r="K389" s="1"/>
      <c r="L389" s="131"/>
      <c r="M389" s="131"/>
      <c r="N389" s="131"/>
      <c r="O389" s="175"/>
      <c r="P389" s="169"/>
    </row>
    <row r="390" spans="1:16" ht="55.5" customHeight="1" hidden="1">
      <c r="A390" s="8"/>
      <c r="B390" s="24"/>
      <c r="C390" s="24"/>
      <c r="D390" s="24"/>
      <c r="E390" s="24"/>
      <c r="F390" s="25"/>
      <c r="G390" s="212" t="s">
        <v>387</v>
      </c>
      <c r="H390" s="147" t="s">
        <v>384</v>
      </c>
      <c r="I390" s="148"/>
      <c r="J390" s="1">
        <f>J391</f>
        <v>0</v>
      </c>
      <c r="K390" s="1"/>
      <c r="L390" s="131"/>
      <c r="M390" s="131"/>
      <c r="N390" s="131"/>
      <c r="O390" s="175"/>
      <c r="P390" s="169"/>
    </row>
    <row r="391" spans="1:16" ht="81" customHeight="1" hidden="1">
      <c r="A391" s="8"/>
      <c r="B391" s="24"/>
      <c r="C391" s="24"/>
      <c r="D391" s="24"/>
      <c r="E391" s="24"/>
      <c r="F391" s="25"/>
      <c r="G391" s="214" t="s">
        <v>538</v>
      </c>
      <c r="H391" s="147" t="s">
        <v>385</v>
      </c>
      <c r="I391" s="148"/>
      <c r="J391" s="1">
        <f>J392+J393</f>
        <v>0</v>
      </c>
      <c r="K391" s="1"/>
      <c r="L391" s="131"/>
      <c r="M391" s="131"/>
      <c r="N391" s="131"/>
      <c r="O391" s="175"/>
      <c r="P391" s="169"/>
    </row>
    <row r="392" spans="1:16" ht="34.5" customHeight="1" hidden="1">
      <c r="A392" s="8"/>
      <c r="B392" s="24"/>
      <c r="C392" s="24"/>
      <c r="D392" s="24"/>
      <c r="E392" s="24"/>
      <c r="F392" s="25"/>
      <c r="G392" s="214" t="s">
        <v>2</v>
      </c>
      <c r="H392" s="121"/>
      <c r="I392" s="148">
        <v>200</v>
      </c>
      <c r="J392" s="1"/>
      <c r="K392" s="1"/>
      <c r="L392" s="131"/>
      <c r="M392" s="131"/>
      <c r="N392" s="131"/>
      <c r="O392" s="175"/>
      <c r="P392" s="169"/>
    </row>
    <row r="393" spans="1:16" ht="37.5" customHeight="1" hidden="1">
      <c r="A393" s="8"/>
      <c r="B393" s="260">
        <v>600</v>
      </c>
      <c r="C393" s="260"/>
      <c r="D393" s="260"/>
      <c r="E393" s="260"/>
      <c r="F393" s="261"/>
      <c r="G393" s="214" t="s">
        <v>4</v>
      </c>
      <c r="H393" s="121" t="s">
        <v>0</v>
      </c>
      <c r="I393" s="148">
        <v>600</v>
      </c>
      <c r="J393" s="1"/>
      <c r="K393" s="1"/>
      <c r="L393" s="131"/>
      <c r="M393" s="131"/>
      <c r="N393" s="131"/>
      <c r="O393" s="175"/>
      <c r="P393" s="169"/>
    </row>
    <row r="394" spans="1:16" ht="31.5" customHeight="1" hidden="1">
      <c r="A394" s="8"/>
      <c r="B394" s="24"/>
      <c r="C394" s="24"/>
      <c r="D394" s="24"/>
      <c r="E394" s="24"/>
      <c r="F394" s="25"/>
      <c r="G394" s="214" t="s">
        <v>113</v>
      </c>
      <c r="H394" s="147" t="s">
        <v>386</v>
      </c>
      <c r="I394" s="148"/>
      <c r="J394" s="1">
        <f>J395</f>
        <v>0</v>
      </c>
      <c r="K394" s="1"/>
      <c r="L394" s="131"/>
      <c r="M394" s="131"/>
      <c r="N394" s="131"/>
      <c r="O394" s="175"/>
      <c r="P394" s="169"/>
    </row>
    <row r="395" spans="1:16" ht="35.25" customHeight="1" hidden="1">
      <c r="A395" s="8"/>
      <c r="B395" s="24"/>
      <c r="C395" s="24"/>
      <c r="D395" s="24"/>
      <c r="E395" s="24"/>
      <c r="F395" s="25"/>
      <c r="G395" s="214" t="s">
        <v>2</v>
      </c>
      <c r="H395" s="121"/>
      <c r="I395" s="148">
        <v>200</v>
      </c>
      <c r="J395" s="1">
        <v>0</v>
      </c>
      <c r="K395" s="1"/>
      <c r="L395" s="131"/>
      <c r="M395" s="131"/>
      <c r="N395" s="131"/>
      <c r="O395" s="175"/>
      <c r="P395" s="169"/>
    </row>
    <row r="396" spans="1:16" ht="21" customHeight="1" hidden="1">
      <c r="A396" s="8"/>
      <c r="B396" s="252" t="s">
        <v>41</v>
      </c>
      <c r="C396" s="252"/>
      <c r="D396" s="252"/>
      <c r="E396" s="252"/>
      <c r="F396" s="253"/>
      <c r="G396" s="218" t="s">
        <v>539</v>
      </c>
      <c r="H396" s="4" t="s">
        <v>388</v>
      </c>
      <c r="I396" s="189" t="s">
        <v>0</v>
      </c>
      <c r="J396" s="1">
        <f>J397</f>
        <v>0</v>
      </c>
      <c r="K396" s="5"/>
      <c r="L396" s="131"/>
      <c r="M396" s="131"/>
      <c r="N396" s="131"/>
      <c r="O396" s="175"/>
      <c r="P396" s="169"/>
    </row>
    <row r="397" spans="1:16" ht="46.5" customHeight="1" hidden="1">
      <c r="A397" s="8"/>
      <c r="B397" s="24"/>
      <c r="C397" s="24"/>
      <c r="D397" s="24"/>
      <c r="E397" s="24"/>
      <c r="F397" s="25"/>
      <c r="G397" s="212" t="s">
        <v>390</v>
      </c>
      <c r="H397" s="147" t="s">
        <v>389</v>
      </c>
      <c r="I397" s="189"/>
      <c r="J397" s="1">
        <f>J398</f>
        <v>0</v>
      </c>
      <c r="K397" s="5"/>
      <c r="L397" s="131"/>
      <c r="M397" s="131"/>
      <c r="N397" s="131"/>
      <c r="O397" s="175"/>
      <c r="P397" s="169"/>
    </row>
    <row r="398" spans="1:16" ht="31.5" hidden="1">
      <c r="A398" s="8"/>
      <c r="B398" s="260">
        <v>800</v>
      </c>
      <c r="C398" s="260"/>
      <c r="D398" s="260"/>
      <c r="E398" s="260"/>
      <c r="F398" s="261"/>
      <c r="G398" s="214" t="s">
        <v>536</v>
      </c>
      <c r="H398" s="147" t="s">
        <v>391</v>
      </c>
      <c r="I398" s="148"/>
      <c r="J398" s="1">
        <f>J399+J400+J401</f>
        <v>0</v>
      </c>
      <c r="K398" s="1"/>
      <c r="L398" s="131"/>
      <c r="M398" s="131"/>
      <c r="N398" s="131"/>
      <c r="O398" s="175"/>
      <c r="P398" s="169"/>
    </row>
    <row r="399" spans="1:16" ht="31.5" hidden="1">
      <c r="A399" s="8"/>
      <c r="B399" s="24"/>
      <c r="C399" s="24"/>
      <c r="D399" s="24"/>
      <c r="E399" s="24"/>
      <c r="F399" s="25"/>
      <c r="G399" s="214" t="s">
        <v>2</v>
      </c>
      <c r="H399" s="121"/>
      <c r="I399" s="148">
        <v>200</v>
      </c>
      <c r="J399" s="1"/>
      <c r="K399" s="1"/>
      <c r="L399" s="131"/>
      <c r="M399" s="131"/>
      <c r="N399" s="131"/>
      <c r="O399" s="175"/>
      <c r="P399" s="169"/>
    </row>
    <row r="400" spans="1:16" ht="0" customHeight="1" hidden="1">
      <c r="A400" s="8"/>
      <c r="B400" s="24"/>
      <c r="C400" s="24"/>
      <c r="D400" s="24"/>
      <c r="E400" s="24"/>
      <c r="F400" s="25"/>
      <c r="G400" s="214"/>
      <c r="H400" s="121"/>
      <c r="I400" s="148"/>
      <c r="J400" s="1"/>
      <c r="K400" s="1"/>
      <c r="L400" s="131"/>
      <c r="M400" s="131"/>
      <c r="N400" s="131"/>
      <c r="O400" s="175"/>
      <c r="P400" s="169"/>
    </row>
    <row r="401" spans="1:16" ht="35.25" customHeight="1" hidden="1">
      <c r="A401" s="8"/>
      <c r="B401" s="24"/>
      <c r="C401" s="24"/>
      <c r="D401" s="24"/>
      <c r="E401" s="24"/>
      <c r="F401" s="25"/>
      <c r="G401" s="214" t="s">
        <v>4</v>
      </c>
      <c r="H401" s="121"/>
      <c r="I401" s="148">
        <v>600</v>
      </c>
      <c r="J401" s="1"/>
      <c r="K401" s="1"/>
      <c r="L401" s="131"/>
      <c r="M401" s="131"/>
      <c r="N401" s="131"/>
      <c r="O401" s="175"/>
      <c r="P401" s="169"/>
    </row>
    <row r="402" spans="1:16" ht="39" customHeight="1" hidden="1">
      <c r="A402" s="8"/>
      <c r="B402" s="292" t="s">
        <v>40</v>
      </c>
      <c r="C402" s="293"/>
      <c r="D402" s="293"/>
      <c r="E402" s="293"/>
      <c r="F402" s="293"/>
      <c r="G402" s="214" t="s">
        <v>121</v>
      </c>
      <c r="H402" s="121" t="s">
        <v>104</v>
      </c>
      <c r="I402" s="148" t="s">
        <v>0</v>
      </c>
      <c r="J402" s="149"/>
      <c r="K402" s="1"/>
      <c r="L402" s="131"/>
      <c r="M402" s="131"/>
      <c r="N402" s="131"/>
      <c r="O402" s="176"/>
      <c r="P402" s="169"/>
    </row>
    <row r="403" spans="1:16" ht="39" customHeight="1" hidden="1">
      <c r="A403" s="8"/>
      <c r="B403" s="16"/>
      <c r="C403" s="16"/>
      <c r="D403" s="16"/>
      <c r="E403" s="16"/>
      <c r="F403" s="17"/>
      <c r="G403" s="214" t="s">
        <v>4</v>
      </c>
      <c r="H403" s="121"/>
      <c r="I403" s="148">
        <v>600</v>
      </c>
      <c r="J403" s="149"/>
      <c r="K403" s="1"/>
      <c r="L403" s="131"/>
      <c r="M403" s="131"/>
      <c r="N403" s="131"/>
      <c r="O403" s="176"/>
      <c r="P403" s="169"/>
    </row>
    <row r="404" spans="1:16" ht="54.75" customHeight="1" hidden="1">
      <c r="A404" s="8"/>
      <c r="B404" s="16"/>
      <c r="C404" s="16"/>
      <c r="D404" s="16"/>
      <c r="E404" s="16"/>
      <c r="F404" s="17"/>
      <c r="G404" s="214" t="s">
        <v>596</v>
      </c>
      <c r="H404" s="7" t="s">
        <v>606</v>
      </c>
      <c r="I404" s="148"/>
      <c r="J404" s="1">
        <f>J405</f>
        <v>0</v>
      </c>
      <c r="K404" s="1">
        <f>K405</f>
        <v>0</v>
      </c>
      <c r="L404" s="131">
        <f>L405</f>
        <v>0</v>
      </c>
      <c r="M404" s="131"/>
      <c r="N404" s="131"/>
      <c r="O404" s="176"/>
      <c r="P404" s="169"/>
    </row>
    <row r="405" spans="1:16" ht="49.5" customHeight="1" hidden="1">
      <c r="A405" s="8"/>
      <c r="B405" s="16"/>
      <c r="C405" s="16"/>
      <c r="D405" s="16"/>
      <c r="E405" s="16"/>
      <c r="F405" s="17"/>
      <c r="G405" s="214" t="s">
        <v>4</v>
      </c>
      <c r="H405" s="121"/>
      <c r="I405" s="148">
        <v>600</v>
      </c>
      <c r="J405" s="1">
        <v>0</v>
      </c>
      <c r="K405" s="1">
        <v>0</v>
      </c>
      <c r="L405" s="131">
        <f>K405+J405</f>
        <v>0</v>
      </c>
      <c r="M405" s="131"/>
      <c r="N405" s="131"/>
      <c r="O405" s="176"/>
      <c r="P405" s="169"/>
    </row>
    <row r="406" spans="1:16" ht="33.75" customHeight="1" hidden="1">
      <c r="A406" s="8"/>
      <c r="B406" s="16"/>
      <c r="C406" s="16"/>
      <c r="D406" s="16"/>
      <c r="E406" s="16"/>
      <c r="F406" s="17"/>
      <c r="G406" s="214" t="s">
        <v>626</v>
      </c>
      <c r="H406" s="121" t="s">
        <v>377</v>
      </c>
      <c r="I406" s="148"/>
      <c r="J406" s="1">
        <f>J407</f>
        <v>0</v>
      </c>
      <c r="K406" s="1">
        <f>K407</f>
        <v>0</v>
      </c>
      <c r="L406" s="131">
        <f>K406+J406</f>
        <v>0</v>
      </c>
      <c r="M406" s="131"/>
      <c r="N406" s="131">
        <f>N407</f>
        <v>0</v>
      </c>
      <c r="O406" s="150"/>
      <c r="P406" s="169"/>
    </row>
    <row r="407" spans="1:16" ht="33.75" customHeight="1" hidden="1">
      <c r="A407" s="8"/>
      <c r="B407" s="16"/>
      <c r="C407" s="16"/>
      <c r="D407" s="16"/>
      <c r="E407" s="16"/>
      <c r="F407" s="17"/>
      <c r="G407" s="214" t="s">
        <v>4</v>
      </c>
      <c r="H407" s="121"/>
      <c r="I407" s="148">
        <v>600</v>
      </c>
      <c r="J407" s="1"/>
      <c r="K407" s="1">
        <v>0</v>
      </c>
      <c r="L407" s="131">
        <f>K407+J407</f>
        <v>0</v>
      </c>
      <c r="M407" s="131"/>
      <c r="N407" s="131"/>
      <c r="O407" s="150"/>
      <c r="P407" s="169"/>
    </row>
    <row r="408" spans="1:16" ht="33.75" customHeight="1">
      <c r="A408" s="8"/>
      <c r="B408" s="16"/>
      <c r="C408" s="16"/>
      <c r="D408" s="16"/>
      <c r="E408" s="16"/>
      <c r="F408" s="17"/>
      <c r="G408" s="214" t="s">
        <v>795</v>
      </c>
      <c r="H408" s="7" t="s">
        <v>794</v>
      </c>
      <c r="I408" s="148"/>
      <c r="J408" s="1"/>
      <c r="K408" s="1"/>
      <c r="L408" s="131"/>
      <c r="M408" s="131"/>
      <c r="N408" s="131">
        <f>N409</f>
        <v>0</v>
      </c>
      <c r="O408" s="150"/>
      <c r="P408" s="169"/>
    </row>
    <row r="409" spans="1:16" ht="33.75" customHeight="1">
      <c r="A409" s="8"/>
      <c r="B409" s="16"/>
      <c r="C409" s="16"/>
      <c r="D409" s="16"/>
      <c r="E409" s="16"/>
      <c r="F409" s="17"/>
      <c r="G409" s="214" t="s">
        <v>4</v>
      </c>
      <c r="H409" s="121"/>
      <c r="I409" s="148">
        <v>600</v>
      </c>
      <c r="J409" s="1"/>
      <c r="K409" s="1"/>
      <c r="L409" s="131"/>
      <c r="M409" s="131"/>
      <c r="N409" s="131"/>
      <c r="O409" s="150"/>
      <c r="P409" s="169"/>
    </row>
    <row r="410" spans="1:16" ht="33.75" customHeight="1">
      <c r="A410" s="8"/>
      <c r="B410" s="16"/>
      <c r="C410" s="16"/>
      <c r="D410" s="16"/>
      <c r="E410" s="16"/>
      <c r="F410" s="17"/>
      <c r="G410" s="214" t="s">
        <v>626</v>
      </c>
      <c r="H410" s="121" t="s">
        <v>377</v>
      </c>
      <c r="I410" s="148"/>
      <c r="J410" s="1"/>
      <c r="K410" s="1"/>
      <c r="L410" s="131"/>
      <c r="M410" s="131"/>
      <c r="N410" s="131">
        <f>N411</f>
        <v>1588848</v>
      </c>
      <c r="O410" s="150"/>
      <c r="P410" s="169"/>
    </row>
    <row r="411" spans="1:16" ht="33.75" customHeight="1">
      <c r="A411" s="8"/>
      <c r="B411" s="16"/>
      <c r="C411" s="16"/>
      <c r="D411" s="16"/>
      <c r="E411" s="16"/>
      <c r="F411" s="17"/>
      <c r="G411" s="214" t="s">
        <v>4</v>
      </c>
      <c r="H411" s="121"/>
      <c r="I411" s="148">
        <v>600</v>
      </c>
      <c r="J411" s="1"/>
      <c r="K411" s="1"/>
      <c r="L411" s="131"/>
      <c r="M411" s="131"/>
      <c r="N411" s="131">
        <v>1588848</v>
      </c>
      <c r="O411" s="150"/>
      <c r="P411" s="169"/>
    </row>
    <row r="412" spans="1:16" ht="57.75" customHeight="1">
      <c r="A412" s="8"/>
      <c r="B412" s="16"/>
      <c r="C412" s="16"/>
      <c r="D412" s="16"/>
      <c r="E412" s="16"/>
      <c r="F412" s="17"/>
      <c r="G412" s="214" t="s">
        <v>782</v>
      </c>
      <c r="H412" s="121" t="s">
        <v>781</v>
      </c>
      <c r="I412" s="148"/>
      <c r="J412" s="1"/>
      <c r="K412" s="1"/>
      <c r="L412" s="131"/>
      <c r="M412" s="131"/>
      <c r="N412" s="131">
        <f>N413</f>
        <v>240000</v>
      </c>
      <c r="O412" s="150"/>
      <c r="P412" s="169"/>
    </row>
    <row r="413" spans="1:16" ht="33.75" customHeight="1">
      <c r="A413" s="8"/>
      <c r="B413" s="16"/>
      <c r="C413" s="16"/>
      <c r="D413" s="16"/>
      <c r="E413" s="16"/>
      <c r="F413" s="17"/>
      <c r="G413" s="214" t="s">
        <v>4</v>
      </c>
      <c r="H413" s="121"/>
      <c r="I413" s="148">
        <v>600</v>
      </c>
      <c r="J413" s="1"/>
      <c r="K413" s="1"/>
      <c r="L413" s="131"/>
      <c r="M413" s="131"/>
      <c r="N413" s="131">
        <v>240000</v>
      </c>
      <c r="O413" s="150"/>
      <c r="P413" s="169"/>
    </row>
    <row r="414" spans="1:16" ht="34.5" customHeight="1">
      <c r="A414" s="8"/>
      <c r="B414" s="16"/>
      <c r="C414" s="16"/>
      <c r="D414" s="16"/>
      <c r="E414" s="16"/>
      <c r="F414" s="17"/>
      <c r="G414" s="214" t="s">
        <v>583</v>
      </c>
      <c r="H414" s="121" t="s">
        <v>584</v>
      </c>
      <c r="I414" s="148"/>
      <c r="J414" s="1">
        <f>J415</f>
        <v>9112867</v>
      </c>
      <c r="K414" s="1">
        <f>K415</f>
        <v>0</v>
      </c>
      <c r="L414" s="131">
        <f>L415</f>
        <v>9112867</v>
      </c>
      <c r="M414" s="131">
        <f>M415</f>
        <v>0</v>
      </c>
      <c r="N414" s="131">
        <f>N415</f>
        <v>12190469</v>
      </c>
      <c r="O414" s="176"/>
      <c r="P414" s="169"/>
    </row>
    <row r="415" spans="1:16" ht="36" customHeight="1">
      <c r="A415" s="8"/>
      <c r="B415" s="16"/>
      <c r="C415" s="16"/>
      <c r="D415" s="16"/>
      <c r="E415" s="16"/>
      <c r="F415" s="17"/>
      <c r="G415" s="214" t="s">
        <v>4</v>
      </c>
      <c r="H415" s="121"/>
      <c r="I415" s="148">
        <v>600</v>
      </c>
      <c r="J415" s="1">
        <v>9112867</v>
      </c>
      <c r="K415" s="1"/>
      <c r="L415" s="131">
        <f>K415+J415</f>
        <v>9112867</v>
      </c>
      <c r="M415" s="131"/>
      <c r="N415" s="131">
        <v>12190469</v>
      </c>
      <c r="O415" s="176"/>
      <c r="P415" s="169"/>
    </row>
    <row r="416" spans="1:16" ht="49.5" customHeight="1" hidden="1">
      <c r="A416" s="8"/>
      <c r="B416" s="16"/>
      <c r="C416" s="16"/>
      <c r="D416" s="16"/>
      <c r="E416" s="16"/>
      <c r="F416" s="17"/>
      <c r="G416" s="214" t="s">
        <v>637</v>
      </c>
      <c r="H416" s="121" t="s">
        <v>636</v>
      </c>
      <c r="I416" s="148"/>
      <c r="J416" s="1">
        <f>J417</f>
        <v>0</v>
      </c>
      <c r="K416" s="1">
        <f>K417</f>
        <v>5557</v>
      </c>
      <c r="L416" s="131">
        <f>L417</f>
        <v>5557</v>
      </c>
      <c r="M416" s="131"/>
      <c r="N416" s="131"/>
      <c r="O416" s="176"/>
      <c r="P416" s="169"/>
    </row>
    <row r="417" spans="1:16" ht="55.5" customHeight="1" hidden="1">
      <c r="A417" s="8"/>
      <c r="B417" s="16"/>
      <c r="C417" s="16"/>
      <c r="D417" s="16"/>
      <c r="E417" s="16"/>
      <c r="F417" s="17"/>
      <c r="G417" s="214" t="s">
        <v>4</v>
      </c>
      <c r="H417" s="121"/>
      <c r="I417" s="148">
        <v>600</v>
      </c>
      <c r="J417" s="1">
        <v>0</v>
      </c>
      <c r="K417" s="1">
        <v>5557</v>
      </c>
      <c r="L417" s="131">
        <f>K417+J417</f>
        <v>5557</v>
      </c>
      <c r="M417" s="131"/>
      <c r="N417" s="131"/>
      <c r="O417" s="176"/>
      <c r="P417" s="169"/>
    </row>
    <row r="418" spans="1:16" ht="55.5" customHeight="1" hidden="1">
      <c r="A418" s="8"/>
      <c r="B418" s="16"/>
      <c r="C418" s="16"/>
      <c r="D418" s="16"/>
      <c r="E418" s="16"/>
      <c r="F418" s="17"/>
      <c r="G418" s="214" t="s">
        <v>639</v>
      </c>
      <c r="H418" s="121" t="s">
        <v>638</v>
      </c>
      <c r="I418" s="148"/>
      <c r="J418" s="1">
        <f>J419</f>
        <v>0</v>
      </c>
      <c r="K418" s="1">
        <f>K419</f>
        <v>150000</v>
      </c>
      <c r="L418" s="131">
        <f>L419</f>
        <v>150000</v>
      </c>
      <c r="M418" s="131"/>
      <c r="N418" s="131"/>
      <c r="O418" s="176"/>
      <c r="P418" s="169"/>
    </row>
    <row r="419" spans="1:16" ht="55.5" customHeight="1" hidden="1">
      <c r="A419" s="8"/>
      <c r="B419" s="16"/>
      <c r="C419" s="16"/>
      <c r="D419" s="16"/>
      <c r="E419" s="16"/>
      <c r="F419" s="17"/>
      <c r="G419" s="214" t="s">
        <v>4</v>
      </c>
      <c r="H419" s="121"/>
      <c r="I419" s="148">
        <v>600</v>
      </c>
      <c r="J419" s="1">
        <v>0</v>
      </c>
      <c r="K419" s="1">
        <v>150000</v>
      </c>
      <c r="L419" s="131">
        <f>K419+J419</f>
        <v>150000</v>
      </c>
      <c r="M419" s="131"/>
      <c r="N419" s="131"/>
      <c r="O419" s="176"/>
      <c r="P419" s="169"/>
    </row>
    <row r="420" spans="1:16" ht="68.25" customHeight="1" hidden="1">
      <c r="A420" s="8"/>
      <c r="B420" s="16"/>
      <c r="C420" s="16"/>
      <c r="D420" s="16"/>
      <c r="E420" s="16"/>
      <c r="F420" s="17"/>
      <c r="G420" s="212" t="s">
        <v>595</v>
      </c>
      <c r="H420" s="180" t="s">
        <v>472</v>
      </c>
      <c r="I420" s="6"/>
      <c r="J420" s="149">
        <f aca="true" t="shared" si="11" ref="J420:L421">J421</f>
        <v>0</v>
      </c>
      <c r="K420" s="149">
        <f t="shared" si="11"/>
        <v>294730</v>
      </c>
      <c r="L420" s="132">
        <f t="shared" si="11"/>
        <v>294730</v>
      </c>
      <c r="M420" s="132"/>
      <c r="N420" s="132"/>
      <c r="O420" s="176"/>
      <c r="P420" s="170"/>
    </row>
    <row r="421" spans="1:16" ht="54" customHeight="1" hidden="1">
      <c r="A421" s="8"/>
      <c r="B421" s="16"/>
      <c r="C421" s="16"/>
      <c r="D421" s="16"/>
      <c r="E421" s="16"/>
      <c r="F421" s="17"/>
      <c r="G421" s="214" t="s">
        <v>596</v>
      </c>
      <c r="H421" s="121" t="s">
        <v>597</v>
      </c>
      <c r="I421" s="148"/>
      <c r="J421" s="1">
        <f t="shared" si="11"/>
        <v>0</v>
      </c>
      <c r="K421" s="1">
        <f t="shared" si="11"/>
        <v>294730</v>
      </c>
      <c r="L421" s="131">
        <f t="shared" si="11"/>
        <v>294730</v>
      </c>
      <c r="M421" s="131"/>
      <c r="N421" s="131"/>
      <c r="O421" s="176"/>
      <c r="P421" s="169"/>
    </row>
    <row r="422" spans="1:16" ht="36.75" customHeight="1" hidden="1">
      <c r="A422" s="8"/>
      <c r="B422" s="16"/>
      <c r="C422" s="16"/>
      <c r="D422" s="16"/>
      <c r="E422" s="16"/>
      <c r="F422" s="17"/>
      <c r="G422" s="214" t="s">
        <v>4</v>
      </c>
      <c r="H422" s="147" t="s">
        <v>472</v>
      </c>
      <c r="I422" s="148">
        <v>600</v>
      </c>
      <c r="J422" s="1"/>
      <c r="K422" s="1">
        <f>131564+163166</f>
        <v>294730</v>
      </c>
      <c r="L422" s="131">
        <f>K422+J422</f>
        <v>294730</v>
      </c>
      <c r="M422" s="131"/>
      <c r="N422" s="131"/>
      <c r="O422" s="176"/>
      <c r="P422" s="169"/>
    </row>
    <row r="423" spans="1:16" ht="24.75" customHeight="1">
      <c r="A423" s="8"/>
      <c r="B423" s="16"/>
      <c r="C423" s="16"/>
      <c r="D423" s="16"/>
      <c r="E423" s="16"/>
      <c r="F423" s="17"/>
      <c r="G423" s="214" t="s">
        <v>740</v>
      </c>
      <c r="H423" s="203" t="s">
        <v>636</v>
      </c>
      <c r="I423" s="148"/>
      <c r="J423" s="1"/>
      <c r="K423" s="1"/>
      <c r="L423" s="131"/>
      <c r="M423" s="131"/>
      <c r="N423" s="131">
        <f>N424</f>
        <v>95384</v>
      </c>
      <c r="O423" s="176"/>
      <c r="P423" s="169"/>
    </row>
    <row r="424" spans="1:16" ht="36.75" customHeight="1">
      <c r="A424" s="8"/>
      <c r="B424" s="16"/>
      <c r="C424" s="16"/>
      <c r="D424" s="16"/>
      <c r="E424" s="16"/>
      <c r="F424" s="17"/>
      <c r="G424" s="214" t="s">
        <v>4</v>
      </c>
      <c r="H424" s="147"/>
      <c r="I424" s="148">
        <v>600</v>
      </c>
      <c r="J424" s="1"/>
      <c r="K424" s="1"/>
      <c r="L424" s="131"/>
      <c r="M424" s="131"/>
      <c r="N424" s="131">
        <f>4447+90584+353</f>
        <v>95384</v>
      </c>
      <c r="O424" s="176"/>
      <c r="P424" s="169"/>
    </row>
    <row r="425" spans="1:16" ht="68.25" customHeight="1" hidden="1">
      <c r="A425" s="8"/>
      <c r="B425" s="16"/>
      <c r="C425" s="16"/>
      <c r="D425" s="16"/>
      <c r="E425" s="16"/>
      <c r="F425" s="17"/>
      <c r="G425" s="212" t="s">
        <v>595</v>
      </c>
      <c r="H425" s="147" t="s">
        <v>472</v>
      </c>
      <c r="I425" s="148"/>
      <c r="J425" s="1">
        <f>J426+J428</f>
        <v>2051749</v>
      </c>
      <c r="K425" s="1"/>
      <c r="L425" s="131"/>
      <c r="M425" s="131">
        <f>M426+M428</f>
        <v>394348</v>
      </c>
      <c r="N425" s="131">
        <f>N426+N428</f>
        <v>0</v>
      </c>
      <c r="O425" s="150"/>
      <c r="P425" s="169"/>
    </row>
    <row r="426" spans="1:16" ht="36" customHeight="1" hidden="1">
      <c r="A426" s="8"/>
      <c r="B426" s="16"/>
      <c r="C426" s="16"/>
      <c r="D426" s="16"/>
      <c r="E426" s="16"/>
      <c r="F426" s="17"/>
      <c r="G426" s="214" t="s">
        <v>596</v>
      </c>
      <c r="H426" s="121" t="s">
        <v>597</v>
      </c>
      <c r="I426" s="148"/>
      <c r="J426" s="1">
        <f>J427</f>
        <v>46742</v>
      </c>
      <c r="K426" s="1"/>
      <c r="L426" s="131"/>
      <c r="M426" s="131">
        <f>M427</f>
        <v>394348</v>
      </c>
      <c r="N426" s="131">
        <f>N427</f>
        <v>0</v>
      </c>
      <c r="O426" s="150"/>
      <c r="P426" s="169"/>
    </row>
    <row r="427" spans="1:16" ht="36.75" customHeight="1" hidden="1">
      <c r="A427" s="8"/>
      <c r="B427" s="16"/>
      <c r="C427" s="16"/>
      <c r="D427" s="16"/>
      <c r="E427" s="16"/>
      <c r="F427" s="17"/>
      <c r="G427" s="214" t="s">
        <v>4</v>
      </c>
      <c r="H427" s="121"/>
      <c r="I427" s="148">
        <v>600</v>
      </c>
      <c r="J427" s="1">
        <v>46742</v>
      </c>
      <c r="K427" s="1"/>
      <c r="L427" s="131"/>
      <c r="M427" s="131">
        <v>394348</v>
      </c>
      <c r="N427" s="131"/>
      <c r="O427" s="150"/>
      <c r="P427" s="169"/>
    </row>
    <row r="428" spans="1:16" ht="54" customHeight="1" hidden="1">
      <c r="A428" s="8"/>
      <c r="B428" s="16"/>
      <c r="C428" s="16"/>
      <c r="D428" s="16"/>
      <c r="E428" s="16"/>
      <c r="F428" s="17"/>
      <c r="G428" s="214" t="s">
        <v>709</v>
      </c>
      <c r="H428" s="121" t="s">
        <v>708</v>
      </c>
      <c r="I428" s="148"/>
      <c r="J428" s="1">
        <f>J429</f>
        <v>2005007</v>
      </c>
      <c r="K428" s="1"/>
      <c r="L428" s="131"/>
      <c r="M428" s="131">
        <f>M429</f>
        <v>0</v>
      </c>
      <c r="N428" s="131">
        <f>N429</f>
        <v>0</v>
      </c>
      <c r="O428" s="176"/>
      <c r="P428" s="169"/>
    </row>
    <row r="429" spans="1:16" ht="36.75" customHeight="1" hidden="1">
      <c r="A429" s="8"/>
      <c r="B429" s="16"/>
      <c r="C429" s="16"/>
      <c r="D429" s="16"/>
      <c r="E429" s="16"/>
      <c r="F429" s="17"/>
      <c r="G429" s="214" t="s">
        <v>4</v>
      </c>
      <c r="H429" s="121"/>
      <c r="I429" s="148">
        <v>600</v>
      </c>
      <c r="J429" s="1">
        <v>2005007</v>
      </c>
      <c r="K429" s="1"/>
      <c r="L429" s="131"/>
      <c r="M429" s="131"/>
      <c r="N429" s="131"/>
      <c r="O429" s="176"/>
      <c r="P429" s="169"/>
    </row>
    <row r="430" spans="1:16" ht="74.25" customHeight="1">
      <c r="A430" s="8"/>
      <c r="B430" s="16"/>
      <c r="C430" s="16"/>
      <c r="D430" s="16"/>
      <c r="E430" s="16"/>
      <c r="F430" s="17"/>
      <c r="G430" s="214" t="s">
        <v>595</v>
      </c>
      <c r="H430" s="180" t="s">
        <v>472</v>
      </c>
      <c r="I430" s="148"/>
      <c r="J430" s="1"/>
      <c r="K430" s="1"/>
      <c r="L430" s="131"/>
      <c r="M430" s="131"/>
      <c r="N430" s="131">
        <f>N431+N433</f>
        <v>1362060</v>
      </c>
      <c r="O430" s="176"/>
      <c r="P430" s="169"/>
    </row>
    <row r="431" spans="1:16" ht="57" customHeight="1">
      <c r="A431" s="8"/>
      <c r="B431" s="16"/>
      <c r="C431" s="16"/>
      <c r="D431" s="16"/>
      <c r="E431" s="16"/>
      <c r="F431" s="17"/>
      <c r="G431" s="214" t="s">
        <v>709</v>
      </c>
      <c r="H431" s="203" t="s">
        <v>708</v>
      </c>
      <c r="I431" s="148"/>
      <c r="J431" s="1"/>
      <c r="K431" s="1"/>
      <c r="L431" s="131"/>
      <c r="M431" s="131"/>
      <c r="N431" s="131">
        <f>N432</f>
        <v>0</v>
      </c>
      <c r="O431" s="176"/>
      <c r="P431" s="169"/>
    </row>
    <row r="432" spans="1:16" ht="36.75" customHeight="1">
      <c r="A432" s="8"/>
      <c r="B432" s="16"/>
      <c r="C432" s="16"/>
      <c r="D432" s="16"/>
      <c r="E432" s="16"/>
      <c r="F432" s="17"/>
      <c r="G432" s="214" t="s">
        <v>4</v>
      </c>
      <c r="H432" s="121"/>
      <c r="I432" s="148">
        <v>600</v>
      </c>
      <c r="J432" s="1"/>
      <c r="K432" s="1"/>
      <c r="L432" s="131"/>
      <c r="M432" s="131"/>
      <c r="N432" s="131"/>
      <c r="O432" s="176"/>
      <c r="P432" s="169"/>
    </row>
    <row r="433" spans="1:16" ht="48" customHeight="1">
      <c r="A433" s="8"/>
      <c r="B433" s="16"/>
      <c r="C433" s="16"/>
      <c r="D433" s="16"/>
      <c r="E433" s="16"/>
      <c r="F433" s="17"/>
      <c r="G433" s="214" t="s">
        <v>596</v>
      </c>
      <c r="H433" s="203" t="s">
        <v>597</v>
      </c>
      <c r="I433" s="148"/>
      <c r="J433" s="1"/>
      <c r="K433" s="1"/>
      <c r="L433" s="131"/>
      <c r="M433" s="131"/>
      <c r="N433" s="131">
        <f>N434</f>
        <v>1362060</v>
      </c>
      <c r="O433" s="176"/>
      <c r="P433" s="169"/>
    </row>
    <row r="434" spans="1:16" ht="36.75" customHeight="1">
      <c r="A434" s="8"/>
      <c r="B434" s="16"/>
      <c r="C434" s="16"/>
      <c r="D434" s="16"/>
      <c r="E434" s="16"/>
      <c r="F434" s="17"/>
      <c r="G434" s="214" t="s">
        <v>4</v>
      </c>
      <c r="H434" s="203"/>
      <c r="I434" s="148">
        <v>600</v>
      </c>
      <c r="J434" s="1"/>
      <c r="K434" s="1"/>
      <c r="L434" s="131"/>
      <c r="M434" s="131"/>
      <c r="N434" s="131">
        <v>1362060</v>
      </c>
      <c r="O434" s="176"/>
      <c r="P434" s="169"/>
    </row>
    <row r="435" spans="1:16" ht="21" customHeight="1">
      <c r="A435" s="8"/>
      <c r="B435" s="16"/>
      <c r="C435" s="16"/>
      <c r="D435" s="16"/>
      <c r="E435" s="16"/>
      <c r="F435" s="17"/>
      <c r="G435" s="212" t="s">
        <v>743</v>
      </c>
      <c r="H435" s="180" t="s">
        <v>741</v>
      </c>
      <c r="I435" s="148"/>
      <c r="J435" s="1"/>
      <c r="K435" s="1"/>
      <c r="L435" s="131"/>
      <c r="M435" s="131"/>
      <c r="N435" s="131">
        <f>N436</f>
        <v>0</v>
      </c>
      <c r="O435" s="179"/>
      <c r="P435" s="170"/>
    </row>
    <row r="436" spans="1:16" ht="35.25" customHeight="1">
      <c r="A436" s="8"/>
      <c r="B436" s="16"/>
      <c r="C436" s="16"/>
      <c r="D436" s="16"/>
      <c r="E436" s="16"/>
      <c r="F436" s="17"/>
      <c r="G436" s="228" t="s">
        <v>751</v>
      </c>
      <c r="H436" s="121" t="s">
        <v>742</v>
      </c>
      <c r="I436" s="148"/>
      <c r="J436" s="1"/>
      <c r="K436" s="1"/>
      <c r="L436" s="131"/>
      <c r="M436" s="131"/>
      <c r="N436" s="131">
        <f>N437</f>
        <v>0</v>
      </c>
      <c r="O436" s="150"/>
      <c r="P436" s="169"/>
    </row>
    <row r="437" spans="1:16" ht="36.75" customHeight="1">
      <c r="A437" s="8"/>
      <c r="B437" s="16"/>
      <c r="C437" s="16"/>
      <c r="D437" s="16"/>
      <c r="E437" s="16"/>
      <c r="F437" s="17"/>
      <c r="G437" s="214" t="s">
        <v>4</v>
      </c>
      <c r="H437" s="121"/>
      <c r="I437" s="148">
        <v>600</v>
      </c>
      <c r="J437" s="1"/>
      <c r="K437" s="1"/>
      <c r="L437" s="131"/>
      <c r="M437" s="131"/>
      <c r="N437" s="131"/>
      <c r="O437" s="150"/>
      <c r="P437" s="169"/>
    </row>
    <row r="438" spans="1:16" ht="54" customHeight="1" hidden="1">
      <c r="A438" s="8"/>
      <c r="B438" s="16"/>
      <c r="C438" s="16"/>
      <c r="D438" s="16"/>
      <c r="E438" s="16"/>
      <c r="F438" s="17"/>
      <c r="G438" s="218" t="s">
        <v>732</v>
      </c>
      <c r="H438" s="198" t="s">
        <v>383</v>
      </c>
      <c r="I438" s="189"/>
      <c r="J438" s="5"/>
      <c r="K438" s="5"/>
      <c r="L438" s="133"/>
      <c r="M438" s="133"/>
      <c r="N438" s="133">
        <f>N439</f>
        <v>0</v>
      </c>
      <c r="O438" s="175"/>
      <c r="P438" s="167"/>
    </row>
    <row r="439" spans="1:16" ht="34.5" customHeight="1" hidden="1">
      <c r="A439" s="8"/>
      <c r="B439" s="16"/>
      <c r="C439" s="16"/>
      <c r="D439" s="16"/>
      <c r="E439" s="16"/>
      <c r="F439" s="17"/>
      <c r="G439" s="212" t="s">
        <v>715</v>
      </c>
      <c r="H439" s="180" t="s">
        <v>716</v>
      </c>
      <c r="I439" s="6"/>
      <c r="J439" s="149"/>
      <c r="K439" s="149"/>
      <c r="L439" s="132"/>
      <c r="M439" s="132"/>
      <c r="N439" s="132">
        <f>N440</f>
        <v>0</v>
      </c>
      <c r="O439" s="179"/>
      <c r="P439" s="170"/>
    </row>
    <row r="440" spans="1:16" ht="33.75" customHeight="1" hidden="1">
      <c r="A440" s="8"/>
      <c r="B440" s="16"/>
      <c r="C440" s="16"/>
      <c r="D440" s="16"/>
      <c r="E440" s="16"/>
      <c r="F440" s="17"/>
      <c r="G440" s="214" t="s">
        <v>717</v>
      </c>
      <c r="H440" s="121" t="s">
        <v>718</v>
      </c>
      <c r="I440" s="148"/>
      <c r="J440" s="1"/>
      <c r="K440" s="1"/>
      <c r="L440" s="131"/>
      <c r="M440" s="131"/>
      <c r="N440" s="131">
        <f>N441</f>
        <v>0</v>
      </c>
      <c r="O440" s="150"/>
      <c r="P440" s="169"/>
    </row>
    <row r="441" spans="1:16" ht="36.75" customHeight="1" hidden="1">
      <c r="A441" s="8"/>
      <c r="B441" s="16"/>
      <c r="C441" s="16"/>
      <c r="D441" s="16"/>
      <c r="E441" s="16"/>
      <c r="F441" s="17"/>
      <c r="G441" s="214" t="s">
        <v>18</v>
      </c>
      <c r="H441" s="121"/>
      <c r="I441" s="193">
        <v>400</v>
      </c>
      <c r="J441" s="1"/>
      <c r="K441" s="1"/>
      <c r="L441" s="131"/>
      <c r="M441" s="131"/>
      <c r="N441" s="131">
        <v>0</v>
      </c>
      <c r="O441" s="150"/>
      <c r="P441" s="169"/>
    </row>
    <row r="442" spans="1:16" ht="24.75" customHeight="1">
      <c r="A442" s="8"/>
      <c r="B442" s="16"/>
      <c r="C442" s="16"/>
      <c r="D442" s="16"/>
      <c r="E442" s="16"/>
      <c r="F442" s="17"/>
      <c r="G442" s="214" t="s">
        <v>777</v>
      </c>
      <c r="H442" s="180" t="s">
        <v>773</v>
      </c>
      <c r="I442" s="193"/>
      <c r="J442" s="1"/>
      <c r="K442" s="1"/>
      <c r="L442" s="131"/>
      <c r="M442" s="131"/>
      <c r="N442" s="131">
        <f>N443</f>
        <v>0</v>
      </c>
      <c r="O442" s="150"/>
      <c r="P442" s="169"/>
    </row>
    <row r="443" spans="1:16" ht="36.75" customHeight="1">
      <c r="A443" s="8"/>
      <c r="B443" s="16"/>
      <c r="C443" s="16"/>
      <c r="D443" s="16"/>
      <c r="E443" s="16"/>
      <c r="F443" s="17"/>
      <c r="G443" s="214" t="s">
        <v>778</v>
      </c>
      <c r="H443" s="121" t="s">
        <v>774</v>
      </c>
      <c r="I443" s="193"/>
      <c r="J443" s="1"/>
      <c r="K443" s="1"/>
      <c r="L443" s="131"/>
      <c r="M443" s="131"/>
      <c r="N443" s="131">
        <f>N444</f>
        <v>0</v>
      </c>
      <c r="O443" s="150"/>
      <c r="P443" s="169"/>
    </row>
    <row r="444" spans="1:16" ht="36.75" customHeight="1">
      <c r="A444" s="8"/>
      <c r="B444" s="16"/>
      <c r="C444" s="16"/>
      <c r="D444" s="16"/>
      <c r="E444" s="16"/>
      <c r="F444" s="17"/>
      <c r="G444" s="214" t="s">
        <v>4</v>
      </c>
      <c r="H444" s="121"/>
      <c r="I444" s="193">
        <v>600</v>
      </c>
      <c r="J444" s="1"/>
      <c r="K444" s="1"/>
      <c r="L444" s="131"/>
      <c r="M444" s="131"/>
      <c r="N444" s="131"/>
      <c r="O444" s="150"/>
      <c r="P444" s="169"/>
    </row>
    <row r="445" spans="1:16" ht="51.75" customHeight="1">
      <c r="A445" s="8"/>
      <c r="B445" s="16"/>
      <c r="C445" s="16"/>
      <c r="D445" s="16"/>
      <c r="E445" s="16"/>
      <c r="F445" s="17"/>
      <c r="G445" s="218" t="s">
        <v>830</v>
      </c>
      <c r="H445" s="4" t="s">
        <v>383</v>
      </c>
      <c r="I445" s="193"/>
      <c r="J445" s="1"/>
      <c r="K445" s="1"/>
      <c r="L445" s="131"/>
      <c r="M445" s="131"/>
      <c r="N445" s="133">
        <f>N446</f>
        <v>15758654</v>
      </c>
      <c r="O445" s="150"/>
      <c r="P445" s="169"/>
    </row>
    <row r="446" spans="1:16" ht="36.75" customHeight="1">
      <c r="A446" s="8"/>
      <c r="B446" s="16"/>
      <c r="C446" s="16"/>
      <c r="D446" s="16"/>
      <c r="E446" s="16"/>
      <c r="F446" s="17"/>
      <c r="G446" s="212" t="s">
        <v>715</v>
      </c>
      <c r="H446" s="147" t="s">
        <v>384</v>
      </c>
      <c r="I446" s="193"/>
      <c r="J446" s="1"/>
      <c r="K446" s="1"/>
      <c r="L446" s="131"/>
      <c r="M446" s="131"/>
      <c r="N446" s="131">
        <f>N447</f>
        <v>15758654</v>
      </c>
      <c r="O446" s="150"/>
      <c r="P446" s="169"/>
    </row>
    <row r="447" spans="1:16" ht="36.75" customHeight="1">
      <c r="A447" s="8"/>
      <c r="B447" s="16"/>
      <c r="C447" s="16"/>
      <c r="D447" s="16"/>
      <c r="E447" s="16"/>
      <c r="F447" s="17"/>
      <c r="G447" s="214" t="s">
        <v>717</v>
      </c>
      <c r="H447" s="121" t="s">
        <v>718</v>
      </c>
      <c r="I447" s="193"/>
      <c r="J447" s="1"/>
      <c r="K447" s="1"/>
      <c r="L447" s="131"/>
      <c r="M447" s="131"/>
      <c r="N447" s="131">
        <f>N448</f>
        <v>15758654</v>
      </c>
      <c r="O447" s="150"/>
      <c r="P447" s="169"/>
    </row>
    <row r="448" spans="1:16" ht="36.75" customHeight="1">
      <c r="A448" s="8"/>
      <c r="B448" s="16"/>
      <c r="C448" s="16"/>
      <c r="D448" s="16"/>
      <c r="E448" s="16"/>
      <c r="F448" s="17"/>
      <c r="G448" s="214" t="s">
        <v>18</v>
      </c>
      <c r="H448" s="121"/>
      <c r="I448" s="193">
        <v>400</v>
      </c>
      <c r="J448" s="1"/>
      <c r="K448" s="1"/>
      <c r="L448" s="131"/>
      <c r="M448" s="131"/>
      <c r="N448" s="131">
        <f>1885814+13872840</f>
        <v>15758654</v>
      </c>
      <c r="O448" s="150"/>
      <c r="P448" s="169"/>
    </row>
    <row r="449" spans="1:16" ht="36.75" customHeight="1" hidden="1">
      <c r="A449" s="8"/>
      <c r="B449" s="16"/>
      <c r="C449" s="16"/>
      <c r="D449" s="16"/>
      <c r="E449" s="16"/>
      <c r="F449" s="17"/>
      <c r="G449" s="214"/>
      <c r="H449" s="121"/>
      <c r="I449" s="193"/>
      <c r="J449" s="1"/>
      <c r="K449" s="1"/>
      <c r="L449" s="131"/>
      <c r="M449" s="131"/>
      <c r="N449" s="131"/>
      <c r="O449" s="150"/>
      <c r="P449" s="169"/>
    </row>
    <row r="450" spans="1:16" ht="18" customHeight="1">
      <c r="A450" s="8"/>
      <c r="B450" s="16"/>
      <c r="C450" s="16"/>
      <c r="D450" s="16"/>
      <c r="E450" s="16"/>
      <c r="F450" s="17"/>
      <c r="G450" s="218" t="s">
        <v>831</v>
      </c>
      <c r="H450" s="4" t="s">
        <v>573</v>
      </c>
      <c r="I450" s="148"/>
      <c r="J450" s="5">
        <f aca="true" t="shared" si="12" ref="J450:N452">J451</f>
        <v>463518</v>
      </c>
      <c r="K450" s="1">
        <f t="shared" si="12"/>
        <v>0</v>
      </c>
      <c r="L450" s="133">
        <f t="shared" si="12"/>
        <v>235000</v>
      </c>
      <c r="M450" s="133">
        <f t="shared" si="12"/>
        <v>0</v>
      </c>
      <c r="N450" s="133">
        <f t="shared" si="12"/>
        <v>506177</v>
      </c>
      <c r="O450" s="175"/>
      <c r="P450" s="167"/>
    </row>
    <row r="451" spans="1:16" ht="55.5" customHeight="1">
      <c r="A451" s="8"/>
      <c r="B451" s="16"/>
      <c r="C451" s="16"/>
      <c r="D451" s="16"/>
      <c r="E451" s="16"/>
      <c r="F451" s="17"/>
      <c r="G451" s="218" t="s">
        <v>832</v>
      </c>
      <c r="H451" s="4" t="s">
        <v>574</v>
      </c>
      <c r="I451" s="189"/>
      <c r="J451" s="5">
        <f>J452+J461</f>
        <v>463518</v>
      </c>
      <c r="K451" s="5">
        <f>K452+K456</f>
        <v>0</v>
      </c>
      <c r="L451" s="133">
        <f>L452+L456</f>
        <v>235000</v>
      </c>
      <c r="M451" s="133">
        <f>M452+M461</f>
        <v>0</v>
      </c>
      <c r="N451" s="133">
        <f>N452+N470</f>
        <v>506177</v>
      </c>
      <c r="O451" s="175"/>
      <c r="P451" s="167"/>
    </row>
    <row r="452" spans="1:16" ht="50.25" customHeight="1">
      <c r="A452" s="8"/>
      <c r="B452" s="16"/>
      <c r="C452" s="16"/>
      <c r="D452" s="16"/>
      <c r="E452" s="16"/>
      <c r="F452" s="17"/>
      <c r="G452" s="212" t="s">
        <v>390</v>
      </c>
      <c r="H452" s="147" t="s">
        <v>575</v>
      </c>
      <c r="I452" s="148"/>
      <c r="J452" s="1">
        <f t="shared" si="12"/>
        <v>235000</v>
      </c>
      <c r="K452" s="1">
        <f t="shared" si="12"/>
        <v>0</v>
      </c>
      <c r="L452" s="131">
        <f t="shared" si="12"/>
        <v>235000</v>
      </c>
      <c r="M452" s="131">
        <f t="shared" si="12"/>
        <v>0</v>
      </c>
      <c r="N452" s="131">
        <f t="shared" si="12"/>
        <v>235000</v>
      </c>
      <c r="O452" s="179"/>
      <c r="P452" s="169"/>
    </row>
    <row r="453" spans="1:16" ht="48" customHeight="1">
      <c r="A453" s="8"/>
      <c r="B453" s="16"/>
      <c r="C453" s="16"/>
      <c r="D453" s="16"/>
      <c r="E453" s="16"/>
      <c r="F453" s="17"/>
      <c r="G453" s="214" t="s">
        <v>833</v>
      </c>
      <c r="H453" s="7" t="s">
        <v>576</v>
      </c>
      <c r="I453" s="148"/>
      <c r="J453" s="1">
        <f>J454+J455</f>
        <v>235000</v>
      </c>
      <c r="K453" s="1">
        <f>K454+K455</f>
        <v>0</v>
      </c>
      <c r="L453" s="131">
        <f>L454+L455</f>
        <v>235000</v>
      </c>
      <c r="M453" s="131">
        <f>M454+M455</f>
        <v>0</v>
      </c>
      <c r="N453" s="131">
        <f>N454+N455</f>
        <v>235000</v>
      </c>
      <c r="O453" s="176"/>
      <c r="P453" s="169"/>
    </row>
    <row r="454" spans="1:16" ht="39" customHeight="1">
      <c r="A454" s="8"/>
      <c r="B454" s="16"/>
      <c r="C454" s="16"/>
      <c r="D454" s="16"/>
      <c r="E454" s="16"/>
      <c r="F454" s="17"/>
      <c r="G454" s="214" t="s">
        <v>2</v>
      </c>
      <c r="H454" s="7"/>
      <c r="I454" s="148">
        <v>200</v>
      </c>
      <c r="J454" s="1">
        <v>91000</v>
      </c>
      <c r="K454" s="1">
        <v>0</v>
      </c>
      <c r="L454" s="131">
        <f>K454+J454</f>
        <v>91000</v>
      </c>
      <c r="M454" s="131"/>
      <c r="N454" s="131">
        <v>91000</v>
      </c>
      <c r="O454" s="176"/>
      <c r="P454" s="169"/>
    </row>
    <row r="455" spans="1:16" ht="39.75" customHeight="1">
      <c r="A455" s="8"/>
      <c r="B455" s="16"/>
      <c r="C455" s="16"/>
      <c r="D455" s="16"/>
      <c r="E455" s="16"/>
      <c r="F455" s="17"/>
      <c r="G455" s="214" t="s">
        <v>4</v>
      </c>
      <c r="H455" s="121"/>
      <c r="I455" s="148">
        <v>600</v>
      </c>
      <c r="J455" s="1">
        <f>34000+110000</f>
        <v>144000</v>
      </c>
      <c r="K455" s="1">
        <v>0</v>
      </c>
      <c r="L455" s="131">
        <f>K455+J455</f>
        <v>144000</v>
      </c>
      <c r="M455" s="131"/>
      <c r="N455" s="131">
        <f>34000+110000</f>
        <v>144000</v>
      </c>
      <c r="O455" s="176"/>
      <c r="P455" s="169"/>
    </row>
    <row r="456" spans="1:16" ht="54" customHeight="1" hidden="1">
      <c r="A456" s="8"/>
      <c r="B456" s="16"/>
      <c r="C456" s="16"/>
      <c r="D456" s="16"/>
      <c r="E456" s="16"/>
      <c r="F456" s="17"/>
      <c r="G456" s="212" t="s">
        <v>617</v>
      </c>
      <c r="H456" s="121"/>
      <c r="I456" s="148"/>
      <c r="J456" s="1">
        <f>J457+J459</f>
        <v>0</v>
      </c>
      <c r="K456" s="1">
        <f>K457+K459</f>
        <v>0</v>
      </c>
      <c r="L456" s="131">
        <f>L457+L459</f>
        <v>0</v>
      </c>
      <c r="M456" s="131"/>
      <c r="N456" s="131"/>
      <c r="O456" s="176"/>
      <c r="P456" s="169"/>
    </row>
    <row r="457" spans="1:16" ht="54" customHeight="1" hidden="1">
      <c r="A457" s="8"/>
      <c r="B457" s="16"/>
      <c r="C457" s="16"/>
      <c r="D457" s="16"/>
      <c r="E457" s="16"/>
      <c r="F457" s="17"/>
      <c r="G457" s="214" t="s">
        <v>616</v>
      </c>
      <c r="H457" s="147" t="s">
        <v>614</v>
      </c>
      <c r="I457" s="148"/>
      <c r="J457" s="1">
        <f>J458</f>
        <v>0</v>
      </c>
      <c r="K457" s="1">
        <f>K458</f>
        <v>0</v>
      </c>
      <c r="L457" s="131">
        <f>L458</f>
        <v>0</v>
      </c>
      <c r="M457" s="131"/>
      <c r="N457" s="131"/>
      <c r="O457" s="176"/>
      <c r="P457" s="169"/>
    </row>
    <row r="458" spans="1:16" ht="54" customHeight="1" hidden="1">
      <c r="A458" s="8"/>
      <c r="B458" s="16"/>
      <c r="C458" s="16"/>
      <c r="D458" s="16"/>
      <c r="E458" s="16"/>
      <c r="F458" s="17"/>
      <c r="G458" s="214" t="s">
        <v>4</v>
      </c>
      <c r="H458" s="7" t="s">
        <v>615</v>
      </c>
      <c r="I458" s="148">
        <v>600</v>
      </c>
      <c r="J458" s="1"/>
      <c r="K458" s="1">
        <v>0</v>
      </c>
      <c r="L458" s="131">
        <f>K458+J458</f>
        <v>0</v>
      </c>
      <c r="M458" s="131"/>
      <c r="N458" s="131"/>
      <c r="O458" s="176"/>
      <c r="P458" s="169"/>
    </row>
    <row r="459" spans="1:16" ht="54" customHeight="1" hidden="1">
      <c r="A459" s="8"/>
      <c r="B459" s="16"/>
      <c r="C459" s="16"/>
      <c r="D459" s="16"/>
      <c r="E459" s="16"/>
      <c r="F459" s="17"/>
      <c r="G459" s="214" t="s">
        <v>625</v>
      </c>
      <c r="H459" s="121"/>
      <c r="I459" s="148"/>
      <c r="J459" s="1">
        <f>J460</f>
        <v>0</v>
      </c>
      <c r="K459" s="1">
        <f>K460</f>
        <v>0</v>
      </c>
      <c r="L459" s="131">
        <f>L460</f>
        <v>0</v>
      </c>
      <c r="M459" s="131"/>
      <c r="N459" s="131"/>
      <c r="O459" s="176"/>
      <c r="P459" s="169"/>
    </row>
    <row r="460" spans="1:16" ht="24" customHeight="1" hidden="1">
      <c r="A460" s="8"/>
      <c r="B460" s="16"/>
      <c r="C460" s="16"/>
      <c r="D460" s="16"/>
      <c r="E460" s="16"/>
      <c r="F460" s="17"/>
      <c r="G460" s="214" t="s">
        <v>4</v>
      </c>
      <c r="H460" s="7" t="s">
        <v>624</v>
      </c>
      <c r="I460" s="148">
        <v>600</v>
      </c>
      <c r="J460" s="1"/>
      <c r="K460" s="1">
        <v>0</v>
      </c>
      <c r="L460" s="131">
        <f>K460+J460</f>
        <v>0</v>
      </c>
      <c r="M460" s="131"/>
      <c r="N460" s="131"/>
      <c r="O460" s="176"/>
      <c r="P460" s="169"/>
    </row>
    <row r="461" spans="1:16" ht="37.5" customHeight="1" hidden="1">
      <c r="A461" s="8"/>
      <c r="B461" s="16"/>
      <c r="C461" s="16"/>
      <c r="D461" s="16"/>
      <c r="E461" s="16"/>
      <c r="F461" s="17"/>
      <c r="G461" s="212" t="s">
        <v>617</v>
      </c>
      <c r="H461" s="180" t="s">
        <v>614</v>
      </c>
      <c r="I461" s="6"/>
      <c r="J461" s="149">
        <f>J466+J468</f>
        <v>228518</v>
      </c>
      <c r="K461" s="149"/>
      <c r="L461" s="132"/>
      <c r="M461" s="132">
        <f>M466+M468</f>
        <v>0</v>
      </c>
      <c r="N461" s="132">
        <f>N466+N468</f>
        <v>0</v>
      </c>
      <c r="O461" s="179"/>
      <c r="P461" s="170"/>
    </row>
    <row r="462" spans="1:16" ht="37.5" customHeight="1" hidden="1">
      <c r="A462" s="8"/>
      <c r="B462" s="16"/>
      <c r="C462" s="16"/>
      <c r="D462" s="16"/>
      <c r="E462" s="16"/>
      <c r="F462" s="17"/>
      <c r="G462" s="214" t="s">
        <v>616</v>
      </c>
      <c r="H462" s="147" t="s">
        <v>614</v>
      </c>
      <c r="I462" s="148"/>
      <c r="J462" s="1"/>
      <c r="K462" s="1"/>
      <c r="L462" s="131"/>
      <c r="M462" s="131"/>
      <c r="N462" s="131"/>
      <c r="O462" s="176"/>
      <c r="P462" s="169"/>
    </row>
    <row r="463" spans="1:16" ht="37.5" customHeight="1" hidden="1">
      <c r="A463" s="8"/>
      <c r="B463" s="16"/>
      <c r="C463" s="16"/>
      <c r="D463" s="16"/>
      <c r="E463" s="16"/>
      <c r="F463" s="17"/>
      <c r="G463" s="214" t="s">
        <v>4</v>
      </c>
      <c r="H463" s="7" t="s">
        <v>615</v>
      </c>
      <c r="I463" s="148"/>
      <c r="J463" s="1"/>
      <c r="K463" s="1"/>
      <c r="L463" s="131"/>
      <c r="M463" s="131"/>
      <c r="N463" s="131"/>
      <c r="O463" s="176"/>
      <c r="P463" s="169"/>
    </row>
    <row r="464" spans="1:16" ht="37.5" customHeight="1" hidden="1">
      <c r="A464" s="8"/>
      <c r="B464" s="16"/>
      <c r="C464" s="16"/>
      <c r="D464" s="16"/>
      <c r="E464" s="16"/>
      <c r="F464" s="17"/>
      <c r="G464" s="214" t="s">
        <v>625</v>
      </c>
      <c r="H464" s="121"/>
      <c r="I464" s="148"/>
      <c r="J464" s="1">
        <f>J465</f>
        <v>0</v>
      </c>
      <c r="K464" s="1"/>
      <c r="L464" s="131"/>
      <c r="M464" s="131"/>
      <c r="N464" s="131"/>
      <c r="O464" s="176"/>
      <c r="P464" s="169"/>
    </row>
    <row r="465" spans="1:16" ht="37.5" customHeight="1" hidden="1">
      <c r="A465" s="8"/>
      <c r="B465" s="16"/>
      <c r="C465" s="16"/>
      <c r="D465" s="16"/>
      <c r="E465" s="16"/>
      <c r="F465" s="17"/>
      <c r="G465" s="214" t="s">
        <v>4</v>
      </c>
      <c r="H465" s="7" t="s">
        <v>662</v>
      </c>
      <c r="I465" s="148">
        <v>600</v>
      </c>
      <c r="J465" s="1">
        <v>0</v>
      </c>
      <c r="K465" s="1"/>
      <c r="L465" s="131"/>
      <c r="M465" s="131"/>
      <c r="N465" s="131"/>
      <c r="O465" s="176"/>
      <c r="P465" s="169"/>
    </row>
    <row r="466" spans="1:16" ht="39" customHeight="1" hidden="1">
      <c r="A466" s="8"/>
      <c r="B466" s="16"/>
      <c r="C466" s="16"/>
      <c r="D466" s="16"/>
      <c r="E466" s="16"/>
      <c r="F466" s="17"/>
      <c r="G466" s="214" t="s">
        <v>625</v>
      </c>
      <c r="H466" s="7" t="s">
        <v>662</v>
      </c>
      <c r="I466" s="148"/>
      <c r="J466" s="1">
        <f>J467</f>
        <v>216518</v>
      </c>
      <c r="K466" s="1"/>
      <c r="L466" s="131"/>
      <c r="M466" s="131">
        <f>M467</f>
        <v>0</v>
      </c>
      <c r="N466" s="131">
        <f>N467</f>
        <v>0</v>
      </c>
      <c r="O466" s="176"/>
      <c r="P466" s="169"/>
    </row>
    <row r="467" spans="1:16" ht="37.5" customHeight="1" hidden="1">
      <c r="A467" s="8"/>
      <c r="B467" s="16"/>
      <c r="C467" s="16"/>
      <c r="D467" s="16"/>
      <c r="E467" s="16"/>
      <c r="F467" s="17"/>
      <c r="G467" s="214" t="s">
        <v>4</v>
      </c>
      <c r="H467" s="7"/>
      <c r="I467" s="148">
        <v>600</v>
      </c>
      <c r="J467" s="1">
        <v>216518</v>
      </c>
      <c r="K467" s="1"/>
      <c r="L467" s="131"/>
      <c r="M467" s="131">
        <v>0</v>
      </c>
      <c r="N467" s="131"/>
      <c r="O467" s="176"/>
      <c r="P467" s="169"/>
    </row>
    <row r="468" spans="1:16" ht="51.75" customHeight="1" hidden="1">
      <c r="A468" s="8"/>
      <c r="B468" s="16"/>
      <c r="C468" s="16"/>
      <c r="D468" s="16"/>
      <c r="E468" s="16"/>
      <c r="F468" s="17"/>
      <c r="G468" s="214" t="s">
        <v>699</v>
      </c>
      <c r="H468" s="121" t="s">
        <v>698</v>
      </c>
      <c r="I468" s="148"/>
      <c r="J468" s="1">
        <f>J469</f>
        <v>12000</v>
      </c>
      <c r="K468" s="1"/>
      <c r="L468" s="131"/>
      <c r="M468" s="131">
        <f>M469</f>
        <v>0</v>
      </c>
      <c r="N468" s="131">
        <f>N469</f>
        <v>0</v>
      </c>
      <c r="O468" s="150"/>
      <c r="P468" s="169"/>
    </row>
    <row r="469" spans="1:16" ht="37.5" customHeight="1" hidden="1">
      <c r="A469" s="8"/>
      <c r="B469" s="16"/>
      <c r="C469" s="16"/>
      <c r="D469" s="16"/>
      <c r="E469" s="16"/>
      <c r="F469" s="17"/>
      <c r="G469" s="214" t="s">
        <v>4</v>
      </c>
      <c r="H469" s="121"/>
      <c r="I469" s="148">
        <v>600</v>
      </c>
      <c r="J469" s="1">
        <v>12000</v>
      </c>
      <c r="K469" s="1"/>
      <c r="L469" s="131"/>
      <c r="M469" s="131"/>
      <c r="N469" s="131"/>
      <c r="O469" s="150"/>
      <c r="P469" s="169"/>
    </row>
    <row r="470" spans="1:16" ht="37.5" customHeight="1">
      <c r="A470" s="8"/>
      <c r="B470" s="16"/>
      <c r="C470" s="16"/>
      <c r="D470" s="16"/>
      <c r="E470" s="16"/>
      <c r="F470" s="17"/>
      <c r="G470" s="212" t="s">
        <v>617</v>
      </c>
      <c r="H470" s="180" t="s">
        <v>614</v>
      </c>
      <c r="I470" s="148"/>
      <c r="J470" s="1"/>
      <c r="K470" s="1"/>
      <c r="L470" s="131"/>
      <c r="M470" s="131"/>
      <c r="N470" s="131">
        <f>N471+N473</f>
        <v>271177</v>
      </c>
      <c r="O470" s="150"/>
      <c r="P470" s="169"/>
    </row>
    <row r="471" spans="1:16" ht="36" customHeight="1">
      <c r="A471" s="8"/>
      <c r="B471" s="16"/>
      <c r="C471" s="16"/>
      <c r="D471" s="16"/>
      <c r="E471" s="16"/>
      <c r="F471" s="17"/>
      <c r="G471" s="214" t="s">
        <v>625</v>
      </c>
      <c r="H471" s="7" t="s">
        <v>662</v>
      </c>
      <c r="I471" s="148"/>
      <c r="J471" s="1"/>
      <c r="K471" s="1"/>
      <c r="L471" s="131"/>
      <c r="M471" s="131"/>
      <c r="N471" s="131">
        <f>N472</f>
        <v>241077</v>
      </c>
      <c r="O471" s="150"/>
      <c r="P471" s="169"/>
    </row>
    <row r="472" spans="1:16" ht="37.5" customHeight="1">
      <c r="A472" s="8"/>
      <c r="B472" s="16"/>
      <c r="C472" s="16"/>
      <c r="D472" s="16"/>
      <c r="E472" s="16"/>
      <c r="F472" s="17"/>
      <c r="G472" s="214" t="s">
        <v>4</v>
      </c>
      <c r="H472" s="121"/>
      <c r="I472" s="148">
        <v>600</v>
      </c>
      <c r="J472" s="1"/>
      <c r="K472" s="1"/>
      <c r="L472" s="131"/>
      <c r="M472" s="131"/>
      <c r="N472" s="131">
        <v>241077</v>
      </c>
      <c r="O472" s="150"/>
      <c r="P472" s="169"/>
    </row>
    <row r="473" spans="1:16" ht="51" customHeight="1">
      <c r="A473" s="8"/>
      <c r="B473" s="16"/>
      <c r="C473" s="16"/>
      <c r="D473" s="16"/>
      <c r="E473" s="16"/>
      <c r="F473" s="17"/>
      <c r="G473" s="214" t="s">
        <v>699</v>
      </c>
      <c r="H473" s="121" t="s">
        <v>698</v>
      </c>
      <c r="I473" s="148"/>
      <c r="J473" s="1"/>
      <c r="K473" s="1"/>
      <c r="L473" s="131"/>
      <c r="M473" s="131"/>
      <c r="N473" s="131">
        <f>N474</f>
        <v>30100</v>
      </c>
      <c r="O473" s="150"/>
      <c r="P473" s="169"/>
    </row>
    <row r="474" spans="1:16" ht="37.5" customHeight="1">
      <c r="A474" s="8"/>
      <c r="B474" s="16"/>
      <c r="C474" s="16"/>
      <c r="D474" s="16"/>
      <c r="E474" s="16"/>
      <c r="F474" s="17"/>
      <c r="G474" s="214" t="s">
        <v>4</v>
      </c>
      <c r="H474" s="121"/>
      <c r="I474" s="148">
        <v>600</v>
      </c>
      <c r="J474" s="1"/>
      <c r="K474" s="1"/>
      <c r="L474" s="131"/>
      <c r="M474" s="131"/>
      <c r="N474" s="131">
        <v>30100</v>
      </c>
      <c r="O474" s="150"/>
      <c r="P474" s="169"/>
    </row>
    <row r="475" spans="1:16" ht="47.25">
      <c r="A475" s="8"/>
      <c r="B475" s="268" t="s">
        <v>39</v>
      </c>
      <c r="C475" s="268"/>
      <c r="D475" s="268"/>
      <c r="E475" s="268"/>
      <c r="F475" s="269"/>
      <c r="G475" s="218" t="s">
        <v>834</v>
      </c>
      <c r="H475" s="198" t="s">
        <v>392</v>
      </c>
      <c r="I475" s="189" t="s">
        <v>0</v>
      </c>
      <c r="J475" s="5">
        <f>J487+J491</f>
        <v>21628423</v>
      </c>
      <c r="K475" s="5">
        <f>K476+K491</f>
        <v>0</v>
      </c>
      <c r="L475" s="133">
        <f>L476+L491</f>
        <v>11628423</v>
      </c>
      <c r="M475" s="133">
        <f>M487+M491</f>
        <v>94450</v>
      </c>
      <c r="N475" s="133">
        <f>N487+N491</f>
        <v>14512409</v>
      </c>
      <c r="O475" s="175"/>
      <c r="P475" s="167"/>
    </row>
    <row r="476" spans="1:16" ht="52.5" customHeight="1" hidden="1">
      <c r="A476" s="8"/>
      <c r="B476" s="276" t="s">
        <v>38</v>
      </c>
      <c r="C476" s="276"/>
      <c r="D476" s="276"/>
      <c r="E476" s="276"/>
      <c r="F476" s="277"/>
      <c r="G476" s="218" t="s">
        <v>640</v>
      </c>
      <c r="H476" s="4" t="s">
        <v>392</v>
      </c>
      <c r="I476" s="148" t="s">
        <v>0</v>
      </c>
      <c r="J476" s="1">
        <f aca="true" t="shared" si="13" ref="J476:L477">J477</f>
        <v>0</v>
      </c>
      <c r="K476" s="1">
        <f t="shared" si="13"/>
        <v>0</v>
      </c>
      <c r="L476" s="131">
        <f t="shared" si="13"/>
        <v>0</v>
      </c>
      <c r="M476" s="131"/>
      <c r="N476" s="131"/>
      <c r="O476" s="175"/>
      <c r="P476" s="169"/>
    </row>
    <row r="477" spans="1:16" ht="52.5" customHeight="1" hidden="1">
      <c r="A477" s="8"/>
      <c r="B477" s="18"/>
      <c r="C477" s="18"/>
      <c r="D477" s="18"/>
      <c r="E477" s="18"/>
      <c r="F477" s="19"/>
      <c r="G477" s="212" t="s">
        <v>454</v>
      </c>
      <c r="H477" s="4" t="s">
        <v>393</v>
      </c>
      <c r="I477" s="148"/>
      <c r="J477" s="1">
        <f t="shared" si="13"/>
        <v>0</v>
      </c>
      <c r="K477" s="1">
        <f t="shared" si="13"/>
        <v>0</v>
      </c>
      <c r="L477" s="131">
        <f t="shared" si="13"/>
        <v>0</v>
      </c>
      <c r="M477" s="131"/>
      <c r="N477" s="131"/>
      <c r="O477" s="175"/>
      <c r="P477" s="169"/>
    </row>
    <row r="478" spans="1:16" ht="66.75" customHeight="1" hidden="1">
      <c r="A478" s="8"/>
      <c r="B478" s="18"/>
      <c r="C478" s="18"/>
      <c r="D478" s="18"/>
      <c r="E478" s="18"/>
      <c r="F478" s="19"/>
      <c r="G478" s="214" t="s">
        <v>641</v>
      </c>
      <c r="H478" s="147" t="s">
        <v>394</v>
      </c>
      <c r="I478" s="148"/>
      <c r="J478" s="1">
        <f>J481+J486</f>
        <v>0</v>
      </c>
      <c r="K478" s="1">
        <f>K481+K486</f>
        <v>0</v>
      </c>
      <c r="L478" s="131">
        <f>L481+L486</f>
        <v>0</v>
      </c>
      <c r="M478" s="131"/>
      <c r="N478" s="131"/>
      <c r="O478" s="175"/>
      <c r="P478" s="169"/>
    </row>
    <row r="479" spans="1:16" ht="34.5" customHeight="1" hidden="1">
      <c r="A479" s="8"/>
      <c r="B479" s="18"/>
      <c r="C479" s="18"/>
      <c r="D479" s="18"/>
      <c r="E479" s="18"/>
      <c r="F479" s="19"/>
      <c r="G479" s="214" t="s">
        <v>4</v>
      </c>
      <c r="H479" s="7" t="s">
        <v>395</v>
      </c>
      <c r="I479" s="148">
        <v>600</v>
      </c>
      <c r="J479" s="1"/>
      <c r="K479" s="1"/>
      <c r="L479" s="131"/>
      <c r="M479" s="131"/>
      <c r="N479" s="131"/>
      <c r="O479" s="175"/>
      <c r="P479" s="169"/>
    </row>
    <row r="480" spans="1:16" ht="31.5" hidden="1">
      <c r="A480" s="8"/>
      <c r="B480" s="270" t="s">
        <v>37</v>
      </c>
      <c r="C480" s="270"/>
      <c r="D480" s="270"/>
      <c r="E480" s="270"/>
      <c r="F480" s="271"/>
      <c r="G480" s="214" t="s">
        <v>18</v>
      </c>
      <c r="H480" s="121"/>
      <c r="I480" s="148">
        <v>400</v>
      </c>
      <c r="J480" s="1">
        <v>0</v>
      </c>
      <c r="K480" s="1"/>
      <c r="L480" s="131"/>
      <c r="M480" s="131"/>
      <c r="N480" s="131"/>
      <c r="O480" s="175"/>
      <c r="P480" s="169"/>
    </row>
    <row r="481" spans="1:16" ht="50.25" customHeight="1" hidden="1">
      <c r="A481" s="8"/>
      <c r="B481" s="22"/>
      <c r="C481" s="22"/>
      <c r="D481" s="22"/>
      <c r="E481" s="22"/>
      <c r="F481" s="23"/>
      <c r="G481" s="214" t="s">
        <v>18</v>
      </c>
      <c r="H481" s="121"/>
      <c r="I481" s="148">
        <v>400</v>
      </c>
      <c r="J481" s="1"/>
      <c r="K481" s="1">
        <v>0</v>
      </c>
      <c r="L481" s="131">
        <f>K481+J481</f>
        <v>0</v>
      </c>
      <c r="M481" s="131"/>
      <c r="N481" s="131"/>
      <c r="O481" s="175"/>
      <c r="P481" s="169"/>
    </row>
    <row r="482" spans="1:16" ht="45" customHeight="1" hidden="1">
      <c r="A482" s="8"/>
      <c r="B482" s="270" t="s">
        <v>36</v>
      </c>
      <c r="C482" s="270"/>
      <c r="D482" s="270"/>
      <c r="E482" s="270"/>
      <c r="F482" s="271"/>
      <c r="G482" s="214" t="s">
        <v>144</v>
      </c>
      <c r="H482" s="121"/>
      <c r="I482" s="148" t="s">
        <v>0</v>
      </c>
      <c r="J482" s="1">
        <f>J483</f>
        <v>18002800</v>
      </c>
      <c r="K482" s="1"/>
      <c r="L482" s="131"/>
      <c r="M482" s="131"/>
      <c r="N482" s="131"/>
      <c r="O482" s="175"/>
      <c r="P482" s="169"/>
    </row>
    <row r="483" spans="1:16" ht="31.5" hidden="1">
      <c r="A483" s="8"/>
      <c r="B483" s="260">
        <v>500</v>
      </c>
      <c r="C483" s="260"/>
      <c r="D483" s="260"/>
      <c r="E483" s="260"/>
      <c r="F483" s="261"/>
      <c r="G483" s="214" t="s">
        <v>18</v>
      </c>
      <c r="H483" s="121" t="s">
        <v>245</v>
      </c>
      <c r="I483" s="148">
        <v>400</v>
      </c>
      <c r="J483" s="1">
        <v>18002800</v>
      </c>
      <c r="K483" s="1"/>
      <c r="L483" s="131"/>
      <c r="M483" s="131"/>
      <c r="N483" s="131"/>
      <c r="O483" s="175"/>
      <c r="P483" s="169"/>
    </row>
    <row r="484" spans="1:16" ht="31.5" hidden="1">
      <c r="A484" s="8"/>
      <c r="B484" s="24"/>
      <c r="C484" s="24"/>
      <c r="D484" s="24"/>
      <c r="E484" s="24"/>
      <c r="F484" s="25"/>
      <c r="G484" s="214" t="s">
        <v>259</v>
      </c>
      <c r="H484" s="7" t="s">
        <v>0</v>
      </c>
      <c r="I484" s="148"/>
      <c r="J484" s="1">
        <f>J485</f>
        <v>3087000</v>
      </c>
      <c r="K484" s="1"/>
      <c r="L484" s="131"/>
      <c r="M484" s="131"/>
      <c r="N484" s="131"/>
      <c r="O484" s="175"/>
      <c r="P484" s="169"/>
    </row>
    <row r="485" spans="1:16" ht="50.25" customHeight="1" hidden="1">
      <c r="A485" s="8"/>
      <c r="B485" s="24"/>
      <c r="C485" s="24"/>
      <c r="D485" s="24"/>
      <c r="E485" s="24"/>
      <c r="F485" s="25"/>
      <c r="G485" s="214" t="s">
        <v>18</v>
      </c>
      <c r="H485" s="121" t="s">
        <v>258</v>
      </c>
      <c r="I485" s="148">
        <v>400</v>
      </c>
      <c r="J485" s="1">
        <v>3087000</v>
      </c>
      <c r="K485" s="1"/>
      <c r="L485" s="131"/>
      <c r="M485" s="131"/>
      <c r="N485" s="131"/>
      <c r="O485" s="175"/>
      <c r="P485" s="169"/>
    </row>
    <row r="486" spans="1:16" ht="23.25" customHeight="1" hidden="1">
      <c r="A486" s="8"/>
      <c r="B486" s="24"/>
      <c r="C486" s="24"/>
      <c r="D486" s="24"/>
      <c r="E486" s="24"/>
      <c r="F486" s="25"/>
      <c r="G486" s="214" t="s">
        <v>1</v>
      </c>
      <c r="H486" s="7"/>
      <c r="I486" s="148">
        <v>800</v>
      </c>
      <c r="J486" s="1">
        <v>0</v>
      </c>
      <c r="K486" s="1"/>
      <c r="L486" s="131"/>
      <c r="M486" s="131"/>
      <c r="N486" s="131"/>
      <c r="O486" s="175"/>
      <c r="P486" s="169"/>
    </row>
    <row r="487" spans="1:16" ht="49.5" customHeight="1" hidden="1">
      <c r="A487" s="8"/>
      <c r="B487" s="24"/>
      <c r="C487" s="24"/>
      <c r="D487" s="24"/>
      <c r="E487" s="24"/>
      <c r="F487" s="25"/>
      <c r="G487" s="218" t="s">
        <v>733</v>
      </c>
      <c r="H487" s="4" t="s">
        <v>393</v>
      </c>
      <c r="I487" s="148"/>
      <c r="J487" s="1">
        <f>J488</f>
        <v>10000000</v>
      </c>
      <c r="K487" s="1"/>
      <c r="L487" s="131"/>
      <c r="M487" s="131">
        <f aca="true" t="shared" si="14" ref="M487:N489">M488</f>
        <v>0</v>
      </c>
      <c r="N487" s="133">
        <f t="shared" si="14"/>
        <v>0</v>
      </c>
      <c r="O487" s="175"/>
      <c r="P487" s="167"/>
    </row>
    <row r="488" spans="1:16" ht="49.5" customHeight="1" hidden="1">
      <c r="A488" s="8"/>
      <c r="B488" s="24"/>
      <c r="C488" s="24"/>
      <c r="D488" s="24"/>
      <c r="E488" s="24"/>
      <c r="F488" s="25"/>
      <c r="G488" s="212" t="s">
        <v>454</v>
      </c>
      <c r="H488" s="147" t="s">
        <v>394</v>
      </c>
      <c r="I488" s="148"/>
      <c r="J488" s="1">
        <f>J489</f>
        <v>10000000</v>
      </c>
      <c r="K488" s="1"/>
      <c r="L488" s="131"/>
      <c r="M488" s="131">
        <f t="shared" si="14"/>
        <v>0</v>
      </c>
      <c r="N488" s="131">
        <f t="shared" si="14"/>
        <v>0</v>
      </c>
      <c r="O488" s="175"/>
      <c r="P488" s="169"/>
    </row>
    <row r="489" spans="1:16" ht="96" customHeight="1" hidden="1">
      <c r="A489" s="8"/>
      <c r="B489" s="24"/>
      <c r="C489" s="24"/>
      <c r="D489" s="24"/>
      <c r="E489" s="24"/>
      <c r="F489" s="25"/>
      <c r="G489" s="214" t="s">
        <v>711</v>
      </c>
      <c r="H489" s="7" t="s">
        <v>710</v>
      </c>
      <c r="I489" s="148"/>
      <c r="J489" s="1">
        <f>J490</f>
        <v>10000000</v>
      </c>
      <c r="K489" s="1"/>
      <c r="L489" s="131"/>
      <c r="M489" s="131">
        <f t="shared" si="14"/>
        <v>0</v>
      </c>
      <c r="N489" s="131">
        <f t="shared" si="14"/>
        <v>0</v>
      </c>
      <c r="O489" s="175"/>
      <c r="P489" s="169"/>
    </row>
    <row r="490" spans="1:16" ht="22.5" customHeight="1" hidden="1">
      <c r="A490" s="8"/>
      <c r="B490" s="24"/>
      <c r="C490" s="24"/>
      <c r="D490" s="24"/>
      <c r="E490" s="24"/>
      <c r="F490" s="25"/>
      <c r="G490" s="214" t="s">
        <v>6</v>
      </c>
      <c r="H490" s="7"/>
      <c r="I490" s="148">
        <v>500</v>
      </c>
      <c r="J490" s="1">
        <v>10000000</v>
      </c>
      <c r="K490" s="1"/>
      <c r="L490" s="131"/>
      <c r="M490" s="131">
        <v>0</v>
      </c>
      <c r="N490" s="131"/>
      <c r="O490" s="175"/>
      <c r="P490" s="169"/>
    </row>
    <row r="491" spans="1:16" ht="66" customHeight="1">
      <c r="A491" s="8"/>
      <c r="B491" s="24"/>
      <c r="C491" s="24"/>
      <c r="D491" s="24"/>
      <c r="E491" s="24"/>
      <c r="F491" s="25"/>
      <c r="G491" s="218" t="s">
        <v>835</v>
      </c>
      <c r="H491" s="4" t="s">
        <v>393</v>
      </c>
      <c r="I491" s="148"/>
      <c r="J491" s="1">
        <f>J492</f>
        <v>11628423</v>
      </c>
      <c r="K491" s="1">
        <f>K492</f>
        <v>0</v>
      </c>
      <c r="L491" s="131">
        <f>L492</f>
        <v>11628423</v>
      </c>
      <c r="M491" s="131">
        <f>M492</f>
        <v>94450</v>
      </c>
      <c r="N491" s="131">
        <f>N493</f>
        <v>14512409</v>
      </c>
      <c r="O491" s="175"/>
      <c r="P491" s="169"/>
    </row>
    <row r="492" spans="1:16" ht="53.25" customHeight="1" hidden="1">
      <c r="A492" s="8"/>
      <c r="B492" s="24"/>
      <c r="C492" s="24"/>
      <c r="D492" s="24"/>
      <c r="E492" s="24"/>
      <c r="F492" s="25"/>
      <c r="G492" s="212" t="s">
        <v>511</v>
      </c>
      <c r="H492" s="147" t="s">
        <v>396</v>
      </c>
      <c r="I492" s="148"/>
      <c r="J492" s="1">
        <f>J494</f>
        <v>11628423</v>
      </c>
      <c r="K492" s="1">
        <f>K494</f>
        <v>0</v>
      </c>
      <c r="L492" s="131">
        <f>L494</f>
        <v>11628423</v>
      </c>
      <c r="M492" s="131">
        <f>M494</f>
        <v>94450</v>
      </c>
      <c r="N492" s="131">
        <f>N494</f>
        <v>14512409</v>
      </c>
      <c r="O492" s="175"/>
      <c r="P492" s="169"/>
    </row>
    <row r="493" spans="1:16" ht="53.25" customHeight="1">
      <c r="A493" s="8"/>
      <c r="B493" s="24"/>
      <c r="C493" s="24"/>
      <c r="D493" s="24"/>
      <c r="E493" s="24"/>
      <c r="F493" s="25"/>
      <c r="G493" s="212" t="s">
        <v>511</v>
      </c>
      <c r="H493" s="147" t="s">
        <v>394</v>
      </c>
      <c r="I493" s="148"/>
      <c r="J493" s="1"/>
      <c r="K493" s="1"/>
      <c r="L493" s="131"/>
      <c r="M493" s="131"/>
      <c r="N493" s="131">
        <f>N494</f>
        <v>14512409</v>
      </c>
      <c r="O493" s="175"/>
      <c r="P493" s="169"/>
    </row>
    <row r="494" spans="1:16" ht="63.75" customHeight="1">
      <c r="A494" s="8"/>
      <c r="B494" s="24"/>
      <c r="C494" s="24"/>
      <c r="D494" s="24"/>
      <c r="E494" s="24"/>
      <c r="F494" s="25"/>
      <c r="G494" s="214" t="s">
        <v>836</v>
      </c>
      <c r="H494" s="7" t="s">
        <v>761</v>
      </c>
      <c r="I494" s="148"/>
      <c r="J494" s="1">
        <f>J495</f>
        <v>11628423</v>
      </c>
      <c r="K494" s="1">
        <f>K495</f>
        <v>0</v>
      </c>
      <c r="L494" s="131">
        <f>L495</f>
        <v>11628423</v>
      </c>
      <c r="M494" s="131">
        <f>M495</f>
        <v>94450</v>
      </c>
      <c r="N494" s="131">
        <f>N495</f>
        <v>14512409</v>
      </c>
      <c r="O494" s="175"/>
      <c r="P494" s="169"/>
    </row>
    <row r="495" spans="1:16" s="110" customFormat="1" ht="37.5" customHeight="1">
      <c r="A495" s="107"/>
      <c r="B495" s="115"/>
      <c r="C495" s="115"/>
      <c r="D495" s="115"/>
      <c r="E495" s="115"/>
      <c r="F495" s="116"/>
      <c r="G495" s="214" t="s">
        <v>4</v>
      </c>
      <c r="H495" s="7"/>
      <c r="I495" s="148">
        <v>600</v>
      </c>
      <c r="J495" s="1">
        <v>11628423</v>
      </c>
      <c r="K495" s="1"/>
      <c r="L495" s="131">
        <f>K495+J495</f>
        <v>11628423</v>
      </c>
      <c r="M495" s="131">
        <v>94450</v>
      </c>
      <c r="N495" s="131">
        <f>14143289+369120</f>
        <v>14512409</v>
      </c>
      <c r="O495" s="175"/>
      <c r="P495" s="169"/>
    </row>
    <row r="496" spans="1:16" s="92" customFormat="1" ht="65.25" customHeight="1" hidden="1">
      <c r="A496" s="91"/>
      <c r="B496" s="286" t="s">
        <v>35</v>
      </c>
      <c r="C496" s="286"/>
      <c r="D496" s="286"/>
      <c r="E496" s="286"/>
      <c r="F496" s="287"/>
      <c r="G496" s="218" t="s">
        <v>540</v>
      </c>
      <c r="H496" s="121"/>
      <c r="I496" s="189" t="s">
        <v>0</v>
      </c>
      <c r="J496" s="5">
        <f>J497</f>
        <v>0</v>
      </c>
      <c r="K496" s="5"/>
      <c r="L496" s="131"/>
      <c r="M496" s="131"/>
      <c r="N496" s="131"/>
      <c r="O496" s="175"/>
      <c r="P496" s="169"/>
    </row>
    <row r="497" spans="1:16" s="92" customFormat="1" ht="47.25" customHeight="1" hidden="1">
      <c r="A497" s="91"/>
      <c r="B497" s="294" t="s">
        <v>34</v>
      </c>
      <c r="C497" s="294"/>
      <c r="D497" s="294"/>
      <c r="E497" s="294"/>
      <c r="F497" s="295"/>
      <c r="G497" s="214" t="s">
        <v>541</v>
      </c>
      <c r="H497" s="4" t="s">
        <v>397</v>
      </c>
      <c r="I497" s="148" t="s">
        <v>0</v>
      </c>
      <c r="J497" s="1">
        <f>SUM(J498+J503)</f>
        <v>0</v>
      </c>
      <c r="K497" s="1"/>
      <c r="L497" s="131"/>
      <c r="M497" s="131"/>
      <c r="N497" s="131"/>
      <c r="O497" s="175"/>
      <c r="P497" s="169"/>
    </row>
    <row r="498" spans="1:16" s="92" customFormat="1" ht="39.75" customHeight="1" hidden="1">
      <c r="A498" s="91"/>
      <c r="B498" s="93"/>
      <c r="C498" s="93"/>
      <c r="D498" s="93"/>
      <c r="E498" s="93"/>
      <c r="F498" s="94"/>
      <c r="G498" s="212" t="s">
        <v>542</v>
      </c>
      <c r="H498" s="7" t="s">
        <v>398</v>
      </c>
      <c r="I498" s="148"/>
      <c r="J498" s="1">
        <f>J499+J501</f>
        <v>0</v>
      </c>
      <c r="K498" s="1"/>
      <c r="L498" s="131"/>
      <c r="M498" s="131"/>
      <c r="N498" s="131"/>
      <c r="O498" s="175"/>
      <c r="P498" s="169"/>
    </row>
    <row r="499" spans="1:16" s="92" customFormat="1" ht="26.25" customHeight="1" hidden="1">
      <c r="A499" s="91"/>
      <c r="B499" s="93"/>
      <c r="C499" s="93"/>
      <c r="D499" s="93"/>
      <c r="E499" s="93"/>
      <c r="F499" s="94"/>
      <c r="G499" s="214" t="s">
        <v>544</v>
      </c>
      <c r="H499" s="147" t="s">
        <v>399</v>
      </c>
      <c r="I499" s="148"/>
      <c r="J499" s="1">
        <f>J500</f>
        <v>0</v>
      </c>
      <c r="K499" s="1"/>
      <c r="L499" s="131"/>
      <c r="M499" s="131"/>
      <c r="N499" s="131"/>
      <c r="O499" s="175"/>
      <c r="P499" s="169"/>
    </row>
    <row r="500" spans="1:16" s="92" customFormat="1" ht="40.5" customHeight="1" hidden="1">
      <c r="A500" s="91"/>
      <c r="B500" s="93"/>
      <c r="C500" s="93"/>
      <c r="D500" s="93"/>
      <c r="E500" s="93"/>
      <c r="F500" s="94"/>
      <c r="G500" s="214" t="s">
        <v>18</v>
      </c>
      <c r="H500" s="7" t="s">
        <v>543</v>
      </c>
      <c r="I500" s="148">
        <v>400</v>
      </c>
      <c r="J500" s="1"/>
      <c r="K500" s="1"/>
      <c r="L500" s="131"/>
      <c r="M500" s="131"/>
      <c r="N500" s="131"/>
      <c r="O500" s="175"/>
      <c r="P500" s="169"/>
    </row>
    <row r="501" spans="1:16" s="92" customFormat="1" ht="37.5" customHeight="1" hidden="1">
      <c r="A501" s="91"/>
      <c r="B501" s="95"/>
      <c r="C501" s="95"/>
      <c r="D501" s="95"/>
      <c r="E501" s="95"/>
      <c r="F501" s="96"/>
      <c r="G501" s="214" t="s">
        <v>532</v>
      </c>
      <c r="H501" s="7"/>
      <c r="I501" s="148"/>
      <c r="J501" s="1">
        <f>SUM(J502)</f>
        <v>0</v>
      </c>
      <c r="K501" s="1"/>
      <c r="L501" s="131"/>
      <c r="M501" s="131"/>
      <c r="N501" s="131"/>
      <c r="O501" s="175"/>
      <c r="P501" s="169"/>
    </row>
    <row r="502" spans="1:16" s="92" customFormat="1" ht="34.5" customHeight="1" hidden="1">
      <c r="A502" s="91"/>
      <c r="B502" s="95"/>
      <c r="C502" s="95"/>
      <c r="D502" s="95"/>
      <c r="E502" s="95"/>
      <c r="F502" s="96"/>
      <c r="G502" s="214" t="s">
        <v>18</v>
      </c>
      <c r="H502" s="7" t="s">
        <v>533</v>
      </c>
      <c r="I502" s="148">
        <v>400</v>
      </c>
      <c r="J502" s="1"/>
      <c r="K502" s="1"/>
      <c r="L502" s="131"/>
      <c r="M502" s="131"/>
      <c r="N502" s="131"/>
      <c r="O502" s="175"/>
      <c r="P502" s="169"/>
    </row>
    <row r="503" spans="1:16" s="92" customFormat="1" ht="26.25" customHeight="1" hidden="1">
      <c r="A503" s="91"/>
      <c r="B503" s="95"/>
      <c r="C503" s="95"/>
      <c r="D503" s="95"/>
      <c r="E503" s="95"/>
      <c r="F503" s="96"/>
      <c r="G503" s="212" t="s">
        <v>545</v>
      </c>
      <c r="H503" s="7"/>
      <c r="I503" s="148"/>
      <c r="J503" s="1">
        <f>SUM(J504+J506)</f>
        <v>0</v>
      </c>
      <c r="K503" s="1"/>
      <c r="L503" s="131"/>
      <c r="M503" s="131"/>
      <c r="N503" s="131"/>
      <c r="O503" s="175"/>
      <c r="P503" s="169"/>
    </row>
    <row r="504" spans="1:16" s="92" customFormat="1" ht="36.75" customHeight="1" hidden="1">
      <c r="A504" s="91"/>
      <c r="B504" s="95"/>
      <c r="C504" s="95"/>
      <c r="D504" s="95"/>
      <c r="E504" s="95"/>
      <c r="F504" s="96"/>
      <c r="G504" s="214" t="s">
        <v>547</v>
      </c>
      <c r="H504" s="7" t="s">
        <v>546</v>
      </c>
      <c r="I504" s="148"/>
      <c r="J504" s="1">
        <f>SUM(J505)</f>
        <v>0</v>
      </c>
      <c r="K504" s="1"/>
      <c r="L504" s="131"/>
      <c r="M504" s="131"/>
      <c r="N504" s="131"/>
      <c r="O504" s="175"/>
      <c r="P504" s="169"/>
    </row>
    <row r="505" spans="1:16" s="92" customFormat="1" ht="39" customHeight="1" hidden="1">
      <c r="A505" s="91"/>
      <c r="B505" s="95"/>
      <c r="C505" s="95"/>
      <c r="D505" s="95"/>
      <c r="E505" s="95"/>
      <c r="F505" s="96"/>
      <c r="G505" s="214" t="s">
        <v>18</v>
      </c>
      <c r="H505" s="7" t="s">
        <v>548</v>
      </c>
      <c r="I505" s="148">
        <v>400</v>
      </c>
      <c r="J505" s="1">
        <v>0</v>
      </c>
      <c r="K505" s="1"/>
      <c r="L505" s="131"/>
      <c r="M505" s="131"/>
      <c r="N505" s="131"/>
      <c r="O505" s="175"/>
      <c r="P505" s="169"/>
    </row>
    <row r="506" spans="1:16" s="92" customFormat="1" ht="47.25" customHeight="1" hidden="1">
      <c r="A506" s="91"/>
      <c r="B506" s="95"/>
      <c r="C506" s="95"/>
      <c r="D506" s="95"/>
      <c r="E506" s="95"/>
      <c r="F506" s="96"/>
      <c r="G506" s="214" t="s">
        <v>531</v>
      </c>
      <c r="H506" s="7"/>
      <c r="I506" s="148"/>
      <c r="J506" s="1">
        <f>SUM(J507)</f>
        <v>0</v>
      </c>
      <c r="K506" s="1"/>
      <c r="L506" s="131"/>
      <c r="M506" s="131"/>
      <c r="N506" s="131"/>
      <c r="O506" s="175"/>
      <c r="P506" s="169"/>
    </row>
    <row r="507" spans="1:16" s="92" customFormat="1" ht="43.5" customHeight="1" hidden="1">
      <c r="A507" s="91"/>
      <c r="B507" s="95"/>
      <c r="C507" s="95"/>
      <c r="D507" s="95"/>
      <c r="E507" s="95"/>
      <c r="F507" s="96"/>
      <c r="G507" s="214" t="s">
        <v>18</v>
      </c>
      <c r="H507" s="7" t="s">
        <v>549</v>
      </c>
      <c r="I507" s="148">
        <v>400</v>
      </c>
      <c r="J507" s="1">
        <v>0</v>
      </c>
      <c r="K507" s="1"/>
      <c r="L507" s="131"/>
      <c r="M507" s="131"/>
      <c r="N507" s="131"/>
      <c r="O507" s="175"/>
      <c r="P507" s="169"/>
    </row>
    <row r="508" spans="1:16" s="92" customFormat="1" ht="75.75" customHeight="1" hidden="1">
      <c r="A508" s="91"/>
      <c r="B508" s="95"/>
      <c r="C508" s="95"/>
      <c r="D508" s="95"/>
      <c r="E508" s="95"/>
      <c r="F508" s="96"/>
      <c r="G508" s="234" t="s">
        <v>580</v>
      </c>
      <c r="H508" s="7"/>
      <c r="I508" s="148"/>
      <c r="J508" s="5">
        <f aca="true" t="shared" si="15" ref="J508:L511">J509</f>
        <v>0</v>
      </c>
      <c r="K508" s="1">
        <f t="shared" si="15"/>
        <v>0</v>
      </c>
      <c r="L508" s="131">
        <f t="shared" si="15"/>
        <v>0</v>
      </c>
      <c r="M508" s="131"/>
      <c r="N508" s="131"/>
      <c r="O508" s="175"/>
      <c r="P508" s="169"/>
    </row>
    <row r="509" spans="1:16" s="92" customFormat="1" ht="67.5" customHeight="1" hidden="1">
      <c r="A509" s="91"/>
      <c r="B509" s="95"/>
      <c r="C509" s="95"/>
      <c r="D509" s="95"/>
      <c r="E509" s="95"/>
      <c r="F509" s="96"/>
      <c r="G509" s="235" t="s">
        <v>581</v>
      </c>
      <c r="H509" s="4" t="s">
        <v>397</v>
      </c>
      <c r="I509" s="148"/>
      <c r="J509" s="1">
        <f t="shared" si="15"/>
        <v>0</v>
      </c>
      <c r="K509" s="1">
        <f t="shared" si="15"/>
        <v>0</v>
      </c>
      <c r="L509" s="131">
        <f t="shared" si="15"/>
        <v>0</v>
      </c>
      <c r="M509" s="131"/>
      <c r="N509" s="131"/>
      <c r="O509" s="175"/>
      <c r="P509" s="169"/>
    </row>
    <row r="510" spans="1:16" s="92" customFormat="1" ht="30.75" customHeight="1" hidden="1">
      <c r="A510" s="91"/>
      <c r="B510" s="95"/>
      <c r="C510" s="95"/>
      <c r="D510" s="95"/>
      <c r="E510" s="95"/>
      <c r="F510" s="96"/>
      <c r="G510" s="212" t="s">
        <v>582</v>
      </c>
      <c r="H510" s="7" t="s">
        <v>398</v>
      </c>
      <c r="I510" s="148"/>
      <c r="J510" s="1">
        <f t="shared" si="15"/>
        <v>0</v>
      </c>
      <c r="K510" s="1">
        <f t="shared" si="15"/>
        <v>0</v>
      </c>
      <c r="L510" s="131">
        <f t="shared" si="15"/>
        <v>0</v>
      </c>
      <c r="M510" s="131"/>
      <c r="N510" s="131"/>
      <c r="O510" s="175"/>
      <c r="P510" s="169"/>
    </row>
    <row r="511" spans="1:16" s="92" customFormat="1" ht="63" customHeight="1" hidden="1">
      <c r="A511" s="91"/>
      <c r="B511" s="95"/>
      <c r="C511" s="95"/>
      <c r="D511" s="95"/>
      <c r="E511" s="95"/>
      <c r="F511" s="96"/>
      <c r="G511" s="214" t="s">
        <v>598</v>
      </c>
      <c r="H511" s="147" t="s">
        <v>399</v>
      </c>
      <c r="I511" s="148"/>
      <c r="J511" s="1">
        <f t="shared" si="15"/>
        <v>0</v>
      </c>
      <c r="K511" s="1">
        <f t="shared" si="15"/>
        <v>0</v>
      </c>
      <c r="L511" s="131">
        <f t="shared" si="15"/>
        <v>0</v>
      </c>
      <c r="M511" s="131"/>
      <c r="N511" s="131"/>
      <c r="O511" s="175"/>
      <c r="P511" s="169"/>
    </row>
    <row r="512" spans="1:16" s="92" customFormat="1" ht="54.75" customHeight="1" hidden="1">
      <c r="A512" s="91"/>
      <c r="B512" s="95"/>
      <c r="C512" s="95"/>
      <c r="D512" s="95"/>
      <c r="E512" s="95"/>
      <c r="F512" s="96"/>
      <c r="G512" s="214" t="s">
        <v>18</v>
      </c>
      <c r="H512" s="7" t="s">
        <v>599</v>
      </c>
      <c r="I512" s="148">
        <v>400</v>
      </c>
      <c r="J512" s="1">
        <v>0</v>
      </c>
      <c r="K512" s="1"/>
      <c r="L512" s="131">
        <f>K512+J512</f>
        <v>0</v>
      </c>
      <c r="M512" s="131"/>
      <c r="N512" s="131"/>
      <c r="O512" s="175"/>
      <c r="P512" s="169"/>
    </row>
    <row r="513" spans="1:16" s="98" customFormat="1" ht="47.25">
      <c r="A513" s="97"/>
      <c r="B513" s="280" t="s">
        <v>33</v>
      </c>
      <c r="C513" s="280"/>
      <c r="D513" s="280"/>
      <c r="E513" s="280"/>
      <c r="F513" s="281"/>
      <c r="G513" s="218" t="s">
        <v>837</v>
      </c>
      <c r="H513" s="4" t="s">
        <v>400</v>
      </c>
      <c r="I513" s="189" t="s">
        <v>279</v>
      </c>
      <c r="J513" s="5">
        <f>J514</f>
        <v>50000</v>
      </c>
      <c r="K513" s="5">
        <f>K514</f>
        <v>0</v>
      </c>
      <c r="L513" s="133">
        <f>L514</f>
        <v>50000</v>
      </c>
      <c r="M513" s="133">
        <f>M514</f>
        <v>0</v>
      </c>
      <c r="N513" s="133">
        <f>N514</f>
        <v>60000</v>
      </c>
      <c r="O513" s="175"/>
      <c r="P513" s="167"/>
    </row>
    <row r="514" spans="1:16" s="98" customFormat="1" ht="69.75" customHeight="1">
      <c r="A514" s="97"/>
      <c r="B514" s="282" t="s">
        <v>32</v>
      </c>
      <c r="C514" s="282"/>
      <c r="D514" s="282"/>
      <c r="E514" s="282"/>
      <c r="F514" s="283"/>
      <c r="G514" s="214" t="s">
        <v>838</v>
      </c>
      <c r="H514" s="7" t="s">
        <v>401</v>
      </c>
      <c r="I514" s="148" t="s">
        <v>0</v>
      </c>
      <c r="J514" s="1">
        <f>J515+J519</f>
        <v>50000</v>
      </c>
      <c r="K514" s="1">
        <f>K515+K519</f>
        <v>0</v>
      </c>
      <c r="L514" s="131">
        <f>L515+L519</f>
        <v>50000</v>
      </c>
      <c r="M514" s="131">
        <f>M515+M519</f>
        <v>0</v>
      </c>
      <c r="N514" s="131">
        <f>N515+N519</f>
        <v>60000</v>
      </c>
      <c r="O514" s="176"/>
      <c r="P514" s="169"/>
    </row>
    <row r="515" spans="1:16" s="98" customFormat="1" ht="83.25" customHeight="1">
      <c r="A515" s="97"/>
      <c r="B515" s="99"/>
      <c r="C515" s="99"/>
      <c r="D515" s="99"/>
      <c r="E515" s="99"/>
      <c r="F515" s="100"/>
      <c r="G515" s="212" t="s">
        <v>752</v>
      </c>
      <c r="H515" s="147" t="s">
        <v>402</v>
      </c>
      <c r="I515" s="148"/>
      <c r="J515" s="1">
        <f>J516</f>
        <v>50000</v>
      </c>
      <c r="K515" s="1">
        <f>K516</f>
        <v>0</v>
      </c>
      <c r="L515" s="131">
        <f>L516</f>
        <v>50000</v>
      </c>
      <c r="M515" s="131">
        <f>M516</f>
        <v>0</v>
      </c>
      <c r="N515" s="131">
        <f>N516</f>
        <v>60000</v>
      </c>
      <c r="O515" s="176"/>
      <c r="P515" s="169"/>
    </row>
    <row r="516" spans="1:16" ht="72" customHeight="1">
      <c r="A516" s="8"/>
      <c r="B516" s="18"/>
      <c r="C516" s="18"/>
      <c r="D516" s="18"/>
      <c r="E516" s="18"/>
      <c r="F516" s="19"/>
      <c r="G516" s="214" t="s">
        <v>839</v>
      </c>
      <c r="H516" s="7" t="s">
        <v>403</v>
      </c>
      <c r="I516" s="148"/>
      <c r="J516" s="1">
        <f>J517+J518</f>
        <v>50000</v>
      </c>
      <c r="K516" s="1">
        <f>K517+K518</f>
        <v>0</v>
      </c>
      <c r="L516" s="131">
        <f>L517+L518</f>
        <v>50000</v>
      </c>
      <c r="M516" s="131">
        <f>M517+M518</f>
        <v>0</v>
      </c>
      <c r="N516" s="131">
        <f>N517+N518</f>
        <v>60000</v>
      </c>
      <c r="O516" s="176"/>
      <c r="P516" s="169"/>
    </row>
    <row r="517" spans="1:16" ht="31.5">
      <c r="A517" s="8"/>
      <c r="B517" s="270" t="s">
        <v>31</v>
      </c>
      <c r="C517" s="270"/>
      <c r="D517" s="270"/>
      <c r="E517" s="270"/>
      <c r="F517" s="271"/>
      <c r="G517" s="214" t="s">
        <v>2</v>
      </c>
      <c r="H517" s="7"/>
      <c r="I517" s="148">
        <v>200</v>
      </c>
      <c r="J517" s="1">
        <v>50000</v>
      </c>
      <c r="K517" s="1"/>
      <c r="L517" s="131">
        <f>K517+J517</f>
        <v>50000</v>
      </c>
      <c r="M517" s="131"/>
      <c r="N517" s="131">
        <v>60000</v>
      </c>
      <c r="O517" s="175"/>
      <c r="P517" s="169"/>
    </row>
    <row r="518" spans="1:16" ht="15.75" hidden="1">
      <c r="A518" s="8"/>
      <c r="B518" s="24"/>
      <c r="C518" s="24"/>
      <c r="D518" s="24"/>
      <c r="E518" s="24"/>
      <c r="F518" s="25"/>
      <c r="G518" s="214" t="s">
        <v>1</v>
      </c>
      <c r="H518" s="7"/>
      <c r="I518" s="148">
        <v>800</v>
      </c>
      <c r="J518" s="1"/>
      <c r="K518" s="1"/>
      <c r="L518" s="131"/>
      <c r="M518" s="131"/>
      <c r="N518" s="131"/>
      <c r="O518" s="175"/>
      <c r="P518" s="169"/>
    </row>
    <row r="519" spans="1:16" ht="33" customHeight="1" hidden="1">
      <c r="A519" s="8"/>
      <c r="B519" s="24"/>
      <c r="C519" s="24"/>
      <c r="D519" s="24"/>
      <c r="E519" s="24"/>
      <c r="F519" s="25"/>
      <c r="G519" s="212" t="s">
        <v>488</v>
      </c>
      <c r="H519" s="7"/>
      <c r="I519" s="148"/>
      <c r="J519" s="1">
        <f>J520</f>
        <v>0</v>
      </c>
      <c r="K519" s="1"/>
      <c r="L519" s="131"/>
      <c r="M519" s="131"/>
      <c r="N519" s="131"/>
      <c r="O519" s="175"/>
      <c r="P519" s="169"/>
    </row>
    <row r="520" spans="1:16" ht="31.5" hidden="1">
      <c r="A520" s="8"/>
      <c r="B520" s="24"/>
      <c r="C520" s="24"/>
      <c r="D520" s="24"/>
      <c r="E520" s="24"/>
      <c r="F520" s="25"/>
      <c r="G520" s="214" t="s">
        <v>490</v>
      </c>
      <c r="H520" s="147" t="s">
        <v>487</v>
      </c>
      <c r="I520" s="148"/>
      <c r="J520" s="1">
        <f>J521</f>
        <v>0</v>
      </c>
      <c r="K520" s="1"/>
      <c r="L520" s="131"/>
      <c r="M520" s="131"/>
      <c r="N520" s="131"/>
      <c r="O520" s="175"/>
      <c r="P520" s="169"/>
    </row>
    <row r="521" spans="1:16" ht="31.5" hidden="1">
      <c r="A521" s="8"/>
      <c r="B521" s="24"/>
      <c r="C521" s="24"/>
      <c r="D521" s="24"/>
      <c r="E521" s="24"/>
      <c r="F521" s="25"/>
      <c r="G521" s="214" t="s">
        <v>2</v>
      </c>
      <c r="H521" s="7" t="s">
        <v>489</v>
      </c>
      <c r="I521" s="148">
        <v>200</v>
      </c>
      <c r="J521" s="1">
        <v>0</v>
      </c>
      <c r="K521" s="1"/>
      <c r="L521" s="131"/>
      <c r="M521" s="131"/>
      <c r="N521" s="131"/>
      <c r="O521" s="175"/>
      <c r="P521" s="169"/>
    </row>
    <row r="522" spans="1:16" s="98" customFormat="1" ht="39" customHeight="1" hidden="1">
      <c r="A522" s="97"/>
      <c r="B522" s="101"/>
      <c r="C522" s="101"/>
      <c r="D522" s="101"/>
      <c r="E522" s="101"/>
      <c r="F522" s="102"/>
      <c r="G522" s="225" t="s">
        <v>652</v>
      </c>
      <c r="H522" s="4" t="s">
        <v>464</v>
      </c>
      <c r="I522" s="191"/>
      <c r="J522" s="192">
        <f aca="true" t="shared" si="16" ref="J522:L525">J523</f>
        <v>0</v>
      </c>
      <c r="K522" s="192">
        <f t="shared" si="16"/>
        <v>0</v>
      </c>
      <c r="L522" s="131">
        <f t="shared" si="16"/>
        <v>0</v>
      </c>
      <c r="M522" s="131"/>
      <c r="N522" s="131">
        <f>N523</f>
        <v>0</v>
      </c>
      <c r="O522" s="175"/>
      <c r="P522" s="167"/>
    </row>
    <row r="523" spans="1:16" s="98" customFormat="1" ht="36" customHeight="1" hidden="1">
      <c r="A523" s="97"/>
      <c r="B523" s="101"/>
      <c r="C523" s="101"/>
      <c r="D523" s="101"/>
      <c r="E523" s="101"/>
      <c r="F523" s="102"/>
      <c r="G523" s="223" t="s">
        <v>653</v>
      </c>
      <c r="H523" s="7" t="s">
        <v>465</v>
      </c>
      <c r="I523" s="193"/>
      <c r="J523" s="194">
        <f t="shared" si="16"/>
        <v>0</v>
      </c>
      <c r="K523" s="194">
        <f t="shared" si="16"/>
        <v>0</v>
      </c>
      <c r="L523" s="131">
        <f t="shared" si="16"/>
        <v>0</v>
      </c>
      <c r="M523" s="131"/>
      <c r="N523" s="133">
        <f>N524</f>
        <v>0</v>
      </c>
      <c r="O523" s="175"/>
      <c r="P523" s="167"/>
    </row>
    <row r="524" spans="1:16" s="54" customFormat="1" ht="31.5" customHeight="1" hidden="1">
      <c r="A524" s="51"/>
      <c r="B524" s="52"/>
      <c r="C524" s="52"/>
      <c r="D524" s="52"/>
      <c r="E524" s="52"/>
      <c r="F524" s="53"/>
      <c r="G524" s="224" t="s">
        <v>586</v>
      </c>
      <c r="H524" s="147" t="s">
        <v>466</v>
      </c>
      <c r="I524" s="193"/>
      <c r="J524" s="194">
        <f>J525+J531</f>
        <v>0</v>
      </c>
      <c r="K524" s="194">
        <f>K525+K531</f>
        <v>0</v>
      </c>
      <c r="L524" s="131">
        <f>L525+L531</f>
        <v>0</v>
      </c>
      <c r="M524" s="131"/>
      <c r="N524" s="131">
        <f>N525+N531</f>
        <v>0</v>
      </c>
      <c r="O524" s="150"/>
      <c r="P524" s="169"/>
    </row>
    <row r="525" spans="1:16" s="54" customFormat="1" ht="63" customHeight="1" hidden="1">
      <c r="A525" s="51"/>
      <c r="B525" s="52"/>
      <c r="C525" s="52"/>
      <c r="D525" s="52"/>
      <c r="E525" s="52"/>
      <c r="F525" s="53"/>
      <c r="G525" s="223" t="s">
        <v>713</v>
      </c>
      <c r="H525" s="7" t="s">
        <v>714</v>
      </c>
      <c r="I525" s="193"/>
      <c r="J525" s="194">
        <f t="shared" si="16"/>
        <v>0</v>
      </c>
      <c r="K525" s="194">
        <f t="shared" si="16"/>
        <v>0</v>
      </c>
      <c r="L525" s="131">
        <f t="shared" si="16"/>
        <v>0</v>
      </c>
      <c r="M525" s="131"/>
      <c r="N525" s="131">
        <f>N526</f>
        <v>0</v>
      </c>
      <c r="O525" s="150"/>
      <c r="P525" s="169"/>
    </row>
    <row r="526" spans="1:16" s="54" customFormat="1" ht="17.25" customHeight="1" hidden="1">
      <c r="A526" s="51"/>
      <c r="B526" s="52"/>
      <c r="C526" s="52"/>
      <c r="D526" s="52"/>
      <c r="E526" s="52"/>
      <c r="F526" s="53"/>
      <c r="G526" s="223" t="s">
        <v>1</v>
      </c>
      <c r="H526" s="7"/>
      <c r="I526" s="193">
        <v>800</v>
      </c>
      <c r="J526" s="194">
        <v>0</v>
      </c>
      <c r="K526" s="194"/>
      <c r="L526" s="131">
        <f>K526+J526</f>
        <v>0</v>
      </c>
      <c r="M526" s="131"/>
      <c r="N526" s="131"/>
      <c r="O526" s="150"/>
      <c r="P526" s="169"/>
    </row>
    <row r="527" spans="1:16" ht="69" customHeight="1" hidden="1">
      <c r="A527" s="8"/>
      <c r="B527" s="24"/>
      <c r="C527" s="24"/>
      <c r="D527" s="24"/>
      <c r="E527" s="24"/>
      <c r="F527" s="25"/>
      <c r="G527" s="223" t="s">
        <v>263</v>
      </c>
      <c r="H527" s="193"/>
      <c r="I527" s="193"/>
      <c r="J527" s="194">
        <f>J528</f>
        <v>0</v>
      </c>
      <c r="K527" s="194"/>
      <c r="L527" s="131"/>
      <c r="M527" s="131"/>
      <c r="N527" s="131"/>
      <c r="O527" s="150"/>
      <c r="P527" s="169"/>
    </row>
    <row r="528" spans="1:16" ht="19.5" customHeight="1" hidden="1">
      <c r="A528" s="8"/>
      <c r="B528" s="24"/>
      <c r="C528" s="24"/>
      <c r="D528" s="24"/>
      <c r="E528" s="24"/>
      <c r="F528" s="25"/>
      <c r="G528" s="214" t="s">
        <v>1</v>
      </c>
      <c r="H528" s="195" t="s">
        <v>262</v>
      </c>
      <c r="I528" s="193">
        <v>800</v>
      </c>
      <c r="J528" s="194"/>
      <c r="K528" s="194"/>
      <c r="L528" s="131"/>
      <c r="M528" s="131"/>
      <c r="N528" s="131"/>
      <c r="O528" s="150"/>
      <c r="P528" s="169"/>
    </row>
    <row r="529" spans="1:16" ht="60" customHeight="1" hidden="1">
      <c r="A529" s="8"/>
      <c r="B529" s="24"/>
      <c r="C529" s="24"/>
      <c r="D529" s="24"/>
      <c r="E529" s="24"/>
      <c r="F529" s="25"/>
      <c r="G529" s="223" t="s">
        <v>261</v>
      </c>
      <c r="H529" s="193"/>
      <c r="I529" s="193"/>
      <c r="J529" s="194">
        <f>J530</f>
        <v>0</v>
      </c>
      <c r="K529" s="194"/>
      <c r="L529" s="131"/>
      <c r="M529" s="131"/>
      <c r="N529" s="131"/>
      <c r="O529" s="150"/>
      <c r="P529" s="169"/>
    </row>
    <row r="530" spans="1:16" ht="23.25" customHeight="1" hidden="1">
      <c r="A530" s="8"/>
      <c r="B530" s="24"/>
      <c r="C530" s="24"/>
      <c r="D530" s="24"/>
      <c r="E530" s="24"/>
      <c r="F530" s="25"/>
      <c r="G530" s="214" t="s">
        <v>1</v>
      </c>
      <c r="H530" s="195" t="s">
        <v>260</v>
      </c>
      <c r="I530" s="193">
        <v>800</v>
      </c>
      <c r="J530" s="194"/>
      <c r="K530" s="194"/>
      <c r="L530" s="131"/>
      <c r="M530" s="131"/>
      <c r="N530" s="131"/>
      <c r="O530" s="150"/>
      <c r="P530" s="169"/>
    </row>
    <row r="531" spans="1:16" ht="60.75" customHeight="1" hidden="1">
      <c r="A531" s="8"/>
      <c r="B531" s="24"/>
      <c r="C531" s="24"/>
      <c r="D531" s="24"/>
      <c r="E531" s="24"/>
      <c r="F531" s="25"/>
      <c r="G531" s="214" t="s">
        <v>621</v>
      </c>
      <c r="H531" s="7" t="s">
        <v>620</v>
      </c>
      <c r="I531" s="193"/>
      <c r="J531" s="194">
        <f>J532</f>
        <v>0</v>
      </c>
      <c r="K531" s="194">
        <f>K532</f>
        <v>0</v>
      </c>
      <c r="L531" s="131">
        <f>L532</f>
        <v>0</v>
      </c>
      <c r="M531" s="131"/>
      <c r="N531" s="131">
        <f>N532</f>
        <v>0</v>
      </c>
      <c r="O531" s="150"/>
      <c r="P531" s="169"/>
    </row>
    <row r="532" spans="1:16" ht="19.5" customHeight="1" hidden="1">
      <c r="A532" s="8"/>
      <c r="B532" s="24"/>
      <c r="C532" s="24"/>
      <c r="D532" s="24"/>
      <c r="E532" s="24"/>
      <c r="F532" s="25"/>
      <c r="G532" s="223" t="s">
        <v>1</v>
      </c>
      <c r="H532" s="7"/>
      <c r="I532" s="193">
        <v>800</v>
      </c>
      <c r="J532" s="194">
        <v>0</v>
      </c>
      <c r="K532" s="194">
        <v>0</v>
      </c>
      <c r="L532" s="131">
        <f>K532+J532</f>
        <v>0</v>
      </c>
      <c r="M532" s="131"/>
      <c r="N532" s="131"/>
      <c r="O532" s="150"/>
      <c r="P532" s="169"/>
    </row>
    <row r="533" spans="1:16" ht="34.5" customHeight="1" hidden="1">
      <c r="A533" s="8"/>
      <c r="B533" s="24"/>
      <c r="C533" s="24"/>
      <c r="D533" s="24"/>
      <c r="E533" s="24"/>
      <c r="F533" s="25"/>
      <c r="G533" s="225" t="s">
        <v>784</v>
      </c>
      <c r="H533" s="4" t="s">
        <v>464</v>
      </c>
      <c r="I533" s="193"/>
      <c r="J533" s="194"/>
      <c r="K533" s="194"/>
      <c r="L533" s="131"/>
      <c r="M533" s="131"/>
      <c r="N533" s="131">
        <f>N534</f>
        <v>0</v>
      </c>
      <c r="O533" s="150"/>
      <c r="P533" s="169"/>
    </row>
    <row r="534" spans="1:16" ht="54" customHeight="1" hidden="1">
      <c r="A534" s="8"/>
      <c r="B534" s="24"/>
      <c r="C534" s="24"/>
      <c r="D534" s="24"/>
      <c r="E534" s="24"/>
      <c r="F534" s="25"/>
      <c r="G534" s="223" t="s">
        <v>785</v>
      </c>
      <c r="H534" s="4" t="s">
        <v>465</v>
      </c>
      <c r="I534" s="193"/>
      <c r="J534" s="194"/>
      <c r="K534" s="194"/>
      <c r="L534" s="131"/>
      <c r="M534" s="131"/>
      <c r="N534" s="131">
        <f>N535</f>
        <v>0</v>
      </c>
      <c r="O534" s="150"/>
      <c r="P534" s="169"/>
    </row>
    <row r="535" spans="1:16" ht="57" customHeight="1" hidden="1">
      <c r="A535" s="8"/>
      <c r="B535" s="24"/>
      <c r="C535" s="24"/>
      <c r="D535" s="24"/>
      <c r="E535" s="24"/>
      <c r="F535" s="25"/>
      <c r="G535" s="224" t="s">
        <v>586</v>
      </c>
      <c r="H535" s="147" t="s">
        <v>466</v>
      </c>
      <c r="I535" s="193"/>
      <c r="J535" s="194"/>
      <c r="K535" s="194"/>
      <c r="L535" s="131"/>
      <c r="M535" s="131"/>
      <c r="N535" s="131">
        <f>N536+N538</f>
        <v>0</v>
      </c>
      <c r="O535" s="150"/>
      <c r="P535" s="169"/>
    </row>
    <row r="536" spans="1:16" ht="65.25" customHeight="1" hidden="1">
      <c r="A536" s="8"/>
      <c r="B536" s="24"/>
      <c r="C536" s="24"/>
      <c r="D536" s="24"/>
      <c r="E536" s="24"/>
      <c r="F536" s="25"/>
      <c r="G536" s="223" t="s">
        <v>783</v>
      </c>
      <c r="H536" s="7" t="s">
        <v>714</v>
      </c>
      <c r="I536" s="193"/>
      <c r="J536" s="194"/>
      <c r="K536" s="194"/>
      <c r="L536" s="131"/>
      <c r="M536" s="131"/>
      <c r="N536" s="131">
        <f>N537</f>
        <v>0</v>
      </c>
      <c r="O536" s="150"/>
      <c r="P536" s="169"/>
    </row>
    <row r="537" spans="1:16" ht="19.5" customHeight="1" hidden="1">
      <c r="A537" s="8"/>
      <c r="B537" s="24"/>
      <c r="C537" s="24"/>
      <c r="D537" s="24"/>
      <c r="E537" s="24"/>
      <c r="F537" s="25"/>
      <c r="G537" s="214" t="s">
        <v>1</v>
      </c>
      <c r="H537" s="7"/>
      <c r="I537" s="193">
        <v>800</v>
      </c>
      <c r="J537" s="194"/>
      <c r="K537" s="194"/>
      <c r="L537" s="131"/>
      <c r="M537" s="131"/>
      <c r="N537" s="131"/>
      <c r="O537" s="150"/>
      <c r="P537" s="169"/>
    </row>
    <row r="538" spans="1:16" ht="72" customHeight="1" hidden="1">
      <c r="A538" s="8"/>
      <c r="B538" s="24"/>
      <c r="C538" s="24"/>
      <c r="D538" s="24"/>
      <c r="E538" s="24"/>
      <c r="F538" s="25"/>
      <c r="G538" s="223" t="s">
        <v>621</v>
      </c>
      <c r="H538" s="7" t="s">
        <v>620</v>
      </c>
      <c r="I538" s="193"/>
      <c r="J538" s="194"/>
      <c r="K538" s="194"/>
      <c r="L538" s="131"/>
      <c r="M538" s="131"/>
      <c r="N538" s="131">
        <f>N539</f>
        <v>0</v>
      </c>
      <c r="O538" s="150"/>
      <c r="P538" s="169"/>
    </row>
    <row r="539" spans="1:16" ht="19.5" customHeight="1" hidden="1">
      <c r="A539" s="8"/>
      <c r="B539" s="24"/>
      <c r="C539" s="24"/>
      <c r="D539" s="24"/>
      <c r="E539" s="24"/>
      <c r="F539" s="25"/>
      <c r="G539" s="214" t="s">
        <v>1</v>
      </c>
      <c r="H539" s="7"/>
      <c r="I539" s="193">
        <v>800</v>
      </c>
      <c r="J539" s="194"/>
      <c r="K539" s="194"/>
      <c r="L539" s="131"/>
      <c r="M539" s="131"/>
      <c r="N539" s="131"/>
      <c r="O539" s="150"/>
      <c r="P539" s="169"/>
    </row>
    <row r="540" spans="1:16" ht="57.75" customHeight="1">
      <c r="A540" s="8"/>
      <c r="B540" s="24"/>
      <c r="C540" s="24"/>
      <c r="D540" s="24"/>
      <c r="E540" s="24"/>
      <c r="F540" s="25"/>
      <c r="G540" s="225" t="s">
        <v>859</v>
      </c>
      <c r="H540" s="4" t="s">
        <v>643</v>
      </c>
      <c r="I540" s="193"/>
      <c r="J540" s="194">
        <f>J541</f>
        <v>13139527</v>
      </c>
      <c r="K540" s="194"/>
      <c r="L540" s="131"/>
      <c r="M540" s="131">
        <f>M541</f>
        <v>0</v>
      </c>
      <c r="N540" s="133">
        <f>N541</f>
        <v>17699460</v>
      </c>
      <c r="O540" s="175"/>
      <c r="P540" s="167"/>
    </row>
    <row r="541" spans="1:16" ht="63">
      <c r="A541" s="8"/>
      <c r="B541" s="24"/>
      <c r="C541" s="24"/>
      <c r="D541" s="24"/>
      <c r="E541" s="24"/>
      <c r="F541" s="25"/>
      <c r="G541" s="223" t="s">
        <v>860</v>
      </c>
      <c r="H541" s="4" t="s">
        <v>642</v>
      </c>
      <c r="I541" s="193"/>
      <c r="J541" s="194">
        <f>J542+J548</f>
        <v>13139527</v>
      </c>
      <c r="K541" s="194"/>
      <c r="L541" s="131"/>
      <c r="M541" s="131">
        <f>M542+M548</f>
        <v>0</v>
      </c>
      <c r="N541" s="133">
        <f>N542+N555+N560</f>
        <v>17699460</v>
      </c>
      <c r="O541" s="175"/>
      <c r="P541" s="167"/>
    </row>
    <row r="542" spans="1:16" ht="48" customHeight="1">
      <c r="A542" s="8"/>
      <c r="B542" s="24"/>
      <c r="C542" s="24"/>
      <c r="D542" s="24"/>
      <c r="E542" s="24"/>
      <c r="F542" s="25"/>
      <c r="G542" s="224" t="s">
        <v>647</v>
      </c>
      <c r="H542" s="147" t="s">
        <v>644</v>
      </c>
      <c r="I542" s="193"/>
      <c r="J542" s="194">
        <f>J546+J543</f>
        <v>9530527</v>
      </c>
      <c r="K542" s="194"/>
      <c r="L542" s="131"/>
      <c r="M542" s="131">
        <f>M546+M543</f>
        <v>0</v>
      </c>
      <c r="N542" s="131">
        <f>N546+N543</f>
        <v>0</v>
      </c>
      <c r="O542" s="150"/>
      <c r="P542" s="169"/>
    </row>
    <row r="543" spans="1:16" ht="42" customHeight="1">
      <c r="A543" s="8"/>
      <c r="B543" s="24"/>
      <c r="C543" s="24"/>
      <c r="D543" s="24"/>
      <c r="E543" s="24"/>
      <c r="F543" s="25"/>
      <c r="G543" s="214" t="s">
        <v>649</v>
      </c>
      <c r="H543" s="7" t="s">
        <v>648</v>
      </c>
      <c r="I543" s="193"/>
      <c r="J543" s="194">
        <f>J544+J545</f>
        <v>2376527</v>
      </c>
      <c r="K543" s="194"/>
      <c r="L543" s="131"/>
      <c r="M543" s="131">
        <f>M544+M545</f>
        <v>0</v>
      </c>
      <c r="N543" s="131">
        <f>N544+N545</f>
        <v>0</v>
      </c>
      <c r="O543" s="150"/>
      <c r="P543" s="169"/>
    </row>
    <row r="544" spans="1:16" ht="40.5" customHeight="1">
      <c r="A544" s="8"/>
      <c r="B544" s="24"/>
      <c r="C544" s="24"/>
      <c r="D544" s="24"/>
      <c r="E544" s="24"/>
      <c r="F544" s="25"/>
      <c r="G544" s="214" t="s">
        <v>18</v>
      </c>
      <c r="H544" s="7"/>
      <c r="I544" s="193">
        <v>400</v>
      </c>
      <c r="J544" s="194">
        <v>376527</v>
      </c>
      <c r="K544" s="194"/>
      <c r="L544" s="131"/>
      <c r="M544" s="131"/>
      <c r="N544" s="131">
        <v>0</v>
      </c>
      <c r="O544" s="150"/>
      <c r="P544" s="169"/>
    </row>
    <row r="545" spans="1:16" ht="17.25" customHeight="1" hidden="1">
      <c r="A545" s="8"/>
      <c r="B545" s="24"/>
      <c r="C545" s="24"/>
      <c r="D545" s="24"/>
      <c r="E545" s="24"/>
      <c r="F545" s="25"/>
      <c r="G545" s="214" t="s">
        <v>1</v>
      </c>
      <c r="H545" s="147"/>
      <c r="I545" s="193">
        <v>800</v>
      </c>
      <c r="J545" s="194">
        <v>2000000</v>
      </c>
      <c r="K545" s="194"/>
      <c r="L545" s="131"/>
      <c r="M545" s="131"/>
      <c r="N545" s="131">
        <v>0</v>
      </c>
      <c r="O545" s="150"/>
      <c r="P545" s="169"/>
    </row>
    <row r="546" spans="1:16" ht="31.5">
      <c r="A546" s="8"/>
      <c r="B546" s="24"/>
      <c r="C546" s="24"/>
      <c r="D546" s="24"/>
      <c r="E546" s="24"/>
      <c r="F546" s="25"/>
      <c r="G546" s="223" t="s">
        <v>646</v>
      </c>
      <c r="H546" s="7" t="s">
        <v>645</v>
      </c>
      <c r="I546" s="193"/>
      <c r="J546" s="194">
        <f>J547</f>
        <v>7154000</v>
      </c>
      <c r="K546" s="194"/>
      <c r="L546" s="131"/>
      <c r="M546" s="131">
        <f>M547</f>
        <v>0</v>
      </c>
      <c r="N546" s="131">
        <f>N547</f>
        <v>0</v>
      </c>
      <c r="O546" s="150"/>
      <c r="P546" s="169"/>
    </row>
    <row r="547" spans="1:16" ht="39.75" customHeight="1">
      <c r="A547" s="8"/>
      <c r="B547" s="24"/>
      <c r="C547" s="24"/>
      <c r="D547" s="24"/>
      <c r="E547" s="24"/>
      <c r="F547" s="25"/>
      <c r="G547" s="214" t="s">
        <v>18</v>
      </c>
      <c r="H547" s="7"/>
      <c r="I547" s="193">
        <v>400</v>
      </c>
      <c r="J547" s="194">
        <v>7154000</v>
      </c>
      <c r="K547" s="194"/>
      <c r="L547" s="131"/>
      <c r="M547" s="131"/>
      <c r="N547" s="131"/>
      <c r="O547" s="150"/>
      <c r="P547" s="169"/>
    </row>
    <row r="548" spans="1:16" ht="39.75" customHeight="1" hidden="1">
      <c r="A548" s="8"/>
      <c r="B548" s="24"/>
      <c r="C548" s="24"/>
      <c r="D548" s="24"/>
      <c r="E548" s="24"/>
      <c r="F548" s="25"/>
      <c r="G548" s="236" t="s">
        <v>545</v>
      </c>
      <c r="H548" s="147" t="s">
        <v>675</v>
      </c>
      <c r="I548" s="193"/>
      <c r="J548" s="194">
        <f>J551+J553</f>
        <v>3609000</v>
      </c>
      <c r="K548" s="194"/>
      <c r="L548" s="131"/>
      <c r="M548" s="131">
        <f>M551+M553</f>
        <v>0</v>
      </c>
      <c r="N548" s="131">
        <f>N551+N553+N549</f>
        <v>0</v>
      </c>
      <c r="O548" s="150"/>
      <c r="P548" s="169"/>
    </row>
    <row r="549" spans="1:16" ht="39.75" customHeight="1" hidden="1">
      <c r="A549" s="8"/>
      <c r="B549" s="24"/>
      <c r="C549" s="24"/>
      <c r="D549" s="24"/>
      <c r="E549" s="24"/>
      <c r="F549" s="25"/>
      <c r="G549" s="235" t="s">
        <v>728</v>
      </c>
      <c r="H549" s="7" t="s">
        <v>727</v>
      </c>
      <c r="I549" s="193"/>
      <c r="J549" s="194"/>
      <c r="K549" s="194"/>
      <c r="L549" s="131"/>
      <c r="M549" s="131"/>
      <c r="N549" s="131">
        <f>N550</f>
        <v>0</v>
      </c>
      <c r="O549" s="150"/>
      <c r="P549" s="169"/>
    </row>
    <row r="550" spans="1:16" ht="39.75" customHeight="1" hidden="1">
      <c r="A550" s="8"/>
      <c r="B550" s="24"/>
      <c r="C550" s="24"/>
      <c r="D550" s="24"/>
      <c r="E550" s="24"/>
      <c r="F550" s="25"/>
      <c r="G550" s="214" t="s">
        <v>18</v>
      </c>
      <c r="H550" s="147"/>
      <c r="I550" s="193">
        <v>400</v>
      </c>
      <c r="J550" s="194"/>
      <c r="K550" s="194"/>
      <c r="L550" s="131"/>
      <c r="M550" s="131"/>
      <c r="N550" s="131"/>
      <c r="O550" s="150"/>
      <c r="P550" s="169"/>
    </row>
    <row r="551" spans="1:16" ht="39.75" customHeight="1" hidden="1">
      <c r="A551" s="8"/>
      <c r="B551" s="24"/>
      <c r="C551" s="24"/>
      <c r="D551" s="24"/>
      <c r="E551" s="24"/>
      <c r="F551" s="25"/>
      <c r="G551" s="214" t="s">
        <v>679</v>
      </c>
      <c r="H551" s="7" t="s">
        <v>676</v>
      </c>
      <c r="I551" s="193"/>
      <c r="J551" s="194">
        <f>J552</f>
        <v>181000</v>
      </c>
      <c r="K551" s="194"/>
      <c r="L551" s="131"/>
      <c r="M551" s="131">
        <f>M552</f>
        <v>0</v>
      </c>
      <c r="N551" s="131">
        <f>N552</f>
        <v>0</v>
      </c>
      <c r="O551" s="150"/>
      <c r="P551" s="169"/>
    </row>
    <row r="552" spans="1:16" ht="39.75" customHeight="1" hidden="1">
      <c r="A552" s="8"/>
      <c r="B552" s="24"/>
      <c r="C552" s="24"/>
      <c r="D552" s="24"/>
      <c r="E552" s="24"/>
      <c r="F552" s="25"/>
      <c r="G552" s="214" t="s">
        <v>18</v>
      </c>
      <c r="H552" s="7"/>
      <c r="I552" s="193">
        <v>400</v>
      </c>
      <c r="J552" s="194">
        <v>181000</v>
      </c>
      <c r="K552" s="194"/>
      <c r="L552" s="131"/>
      <c r="M552" s="131"/>
      <c r="N552" s="131"/>
      <c r="O552" s="150"/>
      <c r="P552" s="169"/>
    </row>
    <row r="553" spans="1:16" ht="39.75" customHeight="1" hidden="1">
      <c r="A553" s="8"/>
      <c r="B553" s="24"/>
      <c r="C553" s="24"/>
      <c r="D553" s="24"/>
      <c r="E553" s="24"/>
      <c r="F553" s="25"/>
      <c r="G553" s="214" t="s">
        <v>678</v>
      </c>
      <c r="H553" s="7" t="s">
        <v>677</v>
      </c>
      <c r="I553" s="193"/>
      <c r="J553" s="194">
        <f>J554</f>
        <v>3428000</v>
      </c>
      <c r="K553" s="194"/>
      <c r="L553" s="131"/>
      <c r="M553" s="131">
        <f>M554</f>
        <v>0</v>
      </c>
      <c r="N553" s="131">
        <f>N554</f>
        <v>0</v>
      </c>
      <c r="O553" s="150"/>
      <c r="P553" s="169"/>
    </row>
    <row r="554" spans="1:16" ht="39.75" customHeight="1" hidden="1">
      <c r="A554" s="8"/>
      <c r="B554" s="24"/>
      <c r="C554" s="24"/>
      <c r="D554" s="24"/>
      <c r="E554" s="24"/>
      <c r="F554" s="25"/>
      <c r="G554" s="214" t="s">
        <v>18</v>
      </c>
      <c r="H554" s="7"/>
      <c r="I554" s="193">
        <v>400</v>
      </c>
      <c r="J554" s="194">
        <v>3428000</v>
      </c>
      <c r="K554" s="194"/>
      <c r="L554" s="131"/>
      <c r="M554" s="131"/>
      <c r="N554" s="131"/>
      <c r="O554" s="150"/>
      <c r="P554" s="169"/>
    </row>
    <row r="555" spans="1:16" ht="39.75" customHeight="1">
      <c r="A555" s="8"/>
      <c r="B555" s="24"/>
      <c r="C555" s="24"/>
      <c r="D555" s="24"/>
      <c r="E555" s="24"/>
      <c r="F555" s="25"/>
      <c r="G555" s="236" t="s">
        <v>545</v>
      </c>
      <c r="H555" s="147" t="s">
        <v>675</v>
      </c>
      <c r="I555" s="193"/>
      <c r="J555" s="194"/>
      <c r="K555" s="194"/>
      <c r="L555" s="131"/>
      <c r="M555" s="131"/>
      <c r="N555" s="131">
        <f>N556+N558</f>
        <v>17699460</v>
      </c>
      <c r="O555" s="150"/>
      <c r="P555" s="169"/>
    </row>
    <row r="556" spans="1:16" ht="39.75" customHeight="1">
      <c r="A556" s="8"/>
      <c r="B556" s="24"/>
      <c r="C556" s="24"/>
      <c r="D556" s="24"/>
      <c r="E556" s="24"/>
      <c r="F556" s="25"/>
      <c r="G556" s="214" t="s">
        <v>679</v>
      </c>
      <c r="H556" s="7" t="s">
        <v>676</v>
      </c>
      <c r="I556" s="193"/>
      <c r="J556" s="194"/>
      <c r="K556" s="194"/>
      <c r="L556" s="131"/>
      <c r="M556" s="131"/>
      <c r="N556" s="131">
        <f>N557</f>
        <v>1199460</v>
      </c>
      <c r="O556" s="150"/>
      <c r="P556" s="169"/>
    </row>
    <row r="557" spans="1:16" ht="39.75" customHeight="1">
      <c r="A557" s="8"/>
      <c r="B557" s="24"/>
      <c r="C557" s="24"/>
      <c r="D557" s="24"/>
      <c r="E557" s="24"/>
      <c r="F557" s="25"/>
      <c r="G557" s="214" t="s">
        <v>18</v>
      </c>
      <c r="H557" s="7"/>
      <c r="I557" s="193">
        <v>400</v>
      </c>
      <c r="J557" s="194"/>
      <c r="K557" s="194"/>
      <c r="L557" s="131"/>
      <c r="M557" s="131"/>
      <c r="N557" s="131">
        <v>1199460</v>
      </c>
      <c r="O557" s="150"/>
      <c r="P557" s="169"/>
    </row>
    <row r="558" spans="1:16" ht="39.75" customHeight="1">
      <c r="A558" s="8"/>
      <c r="B558" s="24"/>
      <c r="C558" s="24"/>
      <c r="D558" s="24"/>
      <c r="E558" s="24"/>
      <c r="F558" s="25"/>
      <c r="G558" s="214" t="s">
        <v>678</v>
      </c>
      <c r="H558" s="7" t="s">
        <v>677</v>
      </c>
      <c r="I558" s="193"/>
      <c r="J558" s="194"/>
      <c r="K558" s="194"/>
      <c r="L558" s="131"/>
      <c r="M558" s="131"/>
      <c r="N558" s="131">
        <f>N559</f>
        <v>16500000</v>
      </c>
      <c r="O558" s="150"/>
      <c r="P558" s="169"/>
    </row>
    <row r="559" spans="1:16" ht="39.75" customHeight="1">
      <c r="A559" s="8"/>
      <c r="B559" s="24"/>
      <c r="C559" s="24"/>
      <c r="D559" s="24"/>
      <c r="E559" s="24"/>
      <c r="F559" s="25"/>
      <c r="G559" s="214" t="s">
        <v>18</v>
      </c>
      <c r="H559" s="7"/>
      <c r="I559" s="193">
        <v>400</v>
      </c>
      <c r="J559" s="194"/>
      <c r="K559" s="194"/>
      <c r="L559" s="131"/>
      <c r="M559" s="131"/>
      <c r="N559" s="131">
        <v>16500000</v>
      </c>
      <c r="O559" s="150"/>
      <c r="P559" s="169"/>
    </row>
    <row r="560" spans="1:16" ht="39.75" customHeight="1">
      <c r="A560" s="8"/>
      <c r="B560" s="24"/>
      <c r="C560" s="24"/>
      <c r="D560" s="24"/>
      <c r="E560" s="24"/>
      <c r="F560" s="25"/>
      <c r="G560" s="212" t="s">
        <v>779</v>
      </c>
      <c r="H560" s="147" t="s">
        <v>776</v>
      </c>
      <c r="I560" s="193"/>
      <c r="J560" s="194"/>
      <c r="K560" s="194"/>
      <c r="L560" s="131"/>
      <c r="M560" s="131"/>
      <c r="N560" s="131">
        <f>N561</f>
        <v>0</v>
      </c>
      <c r="O560" s="150"/>
      <c r="P560" s="169"/>
    </row>
    <row r="561" spans="1:16" ht="39.75" customHeight="1">
      <c r="A561" s="8"/>
      <c r="B561" s="24"/>
      <c r="C561" s="24"/>
      <c r="D561" s="24"/>
      <c r="E561" s="24"/>
      <c r="F561" s="25"/>
      <c r="G561" s="214" t="s">
        <v>780</v>
      </c>
      <c r="H561" s="7" t="s">
        <v>775</v>
      </c>
      <c r="I561" s="193"/>
      <c r="J561" s="194"/>
      <c r="K561" s="194"/>
      <c r="L561" s="131"/>
      <c r="M561" s="131"/>
      <c r="N561" s="131">
        <f>N562</f>
        <v>0</v>
      </c>
      <c r="O561" s="150"/>
      <c r="P561" s="169"/>
    </row>
    <row r="562" spans="1:16" ht="39.75" customHeight="1">
      <c r="A562" s="8"/>
      <c r="B562" s="24"/>
      <c r="C562" s="24"/>
      <c r="D562" s="24"/>
      <c r="E562" s="24"/>
      <c r="F562" s="25"/>
      <c r="G562" s="214" t="s">
        <v>2</v>
      </c>
      <c r="H562" s="7"/>
      <c r="I562" s="193">
        <v>200</v>
      </c>
      <c r="J562" s="194"/>
      <c r="K562" s="194"/>
      <c r="L562" s="131"/>
      <c r="M562" s="131"/>
      <c r="N562" s="131"/>
      <c r="O562" s="150"/>
      <c r="P562" s="169"/>
    </row>
    <row r="563" spans="1:16" s="54" customFormat="1" ht="39" customHeight="1">
      <c r="A563" s="51"/>
      <c r="B563" s="288" t="s">
        <v>30</v>
      </c>
      <c r="C563" s="288"/>
      <c r="D563" s="288"/>
      <c r="E563" s="288"/>
      <c r="F563" s="289"/>
      <c r="G563" s="218" t="s">
        <v>840</v>
      </c>
      <c r="H563" s="4" t="s">
        <v>408</v>
      </c>
      <c r="I563" s="189" t="s">
        <v>0</v>
      </c>
      <c r="J563" s="5">
        <f>J564+J576</f>
        <v>9479483</v>
      </c>
      <c r="K563" s="5">
        <f>K564+K576</f>
        <v>309969</v>
      </c>
      <c r="L563" s="131">
        <f>L564+L576</f>
        <v>9789452</v>
      </c>
      <c r="M563" s="131">
        <f>M564+M576</f>
        <v>0</v>
      </c>
      <c r="N563" s="133">
        <f>N564+N576+N572</f>
        <v>13066653</v>
      </c>
      <c r="O563" s="175"/>
      <c r="P563" s="167"/>
    </row>
    <row r="564" spans="1:16" s="54" customFormat="1" ht="47.25">
      <c r="A564" s="51"/>
      <c r="B564" s="274" t="s">
        <v>29</v>
      </c>
      <c r="C564" s="274"/>
      <c r="D564" s="274"/>
      <c r="E564" s="274"/>
      <c r="F564" s="275"/>
      <c r="G564" s="218" t="s">
        <v>841</v>
      </c>
      <c r="H564" s="4" t="s">
        <v>409</v>
      </c>
      <c r="I564" s="148" t="s">
        <v>0</v>
      </c>
      <c r="J564" s="1">
        <f>J565</f>
        <v>200000</v>
      </c>
      <c r="K564" s="1">
        <f>K565</f>
        <v>0</v>
      </c>
      <c r="L564" s="131">
        <f>L565</f>
        <v>200000</v>
      </c>
      <c r="M564" s="131">
        <f>M565</f>
        <v>0</v>
      </c>
      <c r="N564" s="131">
        <f>N565</f>
        <v>300000</v>
      </c>
      <c r="O564" s="176"/>
      <c r="P564" s="169"/>
    </row>
    <row r="565" spans="1:16" s="54" customFormat="1" ht="52.5" customHeight="1">
      <c r="A565" s="51"/>
      <c r="B565" s="57"/>
      <c r="C565" s="57"/>
      <c r="D565" s="57"/>
      <c r="E565" s="57"/>
      <c r="F565" s="58"/>
      <c r="G565" s="212" t="s">
        <v>411</v>
      </c>
      <c r="H565" s="147" t="s">
        <v>410</v>
      </c>
      <c r="I565" s="148"/>
      <c r="J565" s="1">
        <f>J566+J570</f>
        <v>200000</v>
      </c>
      <c r="K565" s="1">
        <f>K566+K570</f>
        <v>0</v>
      </c>
      <c r="L565" s="131">
        <f>L566+L570</f>
        <v>200000</v>
      </c>
      <c r="M565" s="131">
        <f>M566+M570</f>
        <v>0</v>
      </c>
      <c r="N565" s="131">
        <f>N566+N570+N574</f>
        <v>300000</v>
      </c>
      <c r="O565" s="176"/>
      <c r="P565" s="169"/>
    </row>
    <row r="566" spans="1:16" s="54" customFormat="1" ht="47.25">
      <c r="A566" s="51"/>
      <c r="B566" s="284" t="s">
        <v>28</v>
      </c>
      <c r="C566" s="284"/>
      <c r="D566" s="284"/>
      <c r="E566" s="284"/>
      <c r="F566" s="285"/>
      <c r="G566" s="214" t="s">
        <v>842</v>
      </c>
      <c r="H566" s="7" t="s">
        <v>412</v>
      </c>
      <c r="I566" s="148" t="s">
        <v>0</v>
      </c>
      <c r="J566" s="1">
        <f>J567</f>
        <v>200000</v>
      </c>
      <c r="K566" s="1">
        <f>K567</f>
        <v>0</v>
      </c>
      <c r="L566" s="131">
        <f>L567</f>
        <v>200000</v>
      </c>
      <c r="M566" s="131">
        <f>M567</f>
        <v>0</v>
      </c>
      <c r="N566" s="131">
        <f>N567</f>
        <v>300000</v>
      </c>
      <c r="O566" s="175"/>
      <c r="P566" s="169"/>
    </row>
    <row r="567" spans="1:16" s="54" customFormat="1" ht="31.5">
      <c r="A567" s="51"/>
      <c r="B567" s="284">
        <v>200</v>
      </c>
      <c r="C567" s="284"/>
      <c r="D567" s="284"/>
      <c r="E567" s="284"/>
      <c r="F567" s="285"/>
      <c r="G567" s="214" t="s">
        <v>2</v>
      </c>
      <c r="H567" s="7"/>
      <c r="I567" s="148">
        <v>200</v>
      </c>
      <c r="J567" s="1">
        <v>200000</v>
      </c>
      <c r="K567" s="1"/>
      <c r="L567" s="131">
        <f>K567+J567</f>
        <v>200000</v>
      </c>
      <c r="M567" s="131"/>
      <c r="N567" s="131">
        <v>300000</v>
      </c>
      <c r="O567" s="175"/>
      <c r="P567" s="169"/>
    </row>
    <row r="568" spans="1:16" ht="31.5" hidden="1">
      <c r="A568" s="8"/>
      <c r="B568" s="24"/>
      <c r="C568" s="24"/>
      <c r="D568" s="24"/>
      <c r="E568" s="24"/>
      <c r="F568" s="25"/>
      <c r="G568" s="214" t="s">
        <v>275</v>
      </c>
      <c r="H568" s="7" t="s">
        <v>0</v>
      </c>
      <c r="I568" s="148"/>
      <c r="J568" s="1"/>
      <c r="K568" s="1"/>
      <c r="L568" s="131"/>
      <c r="M568" s="131"/>
      <c r="N568" s="131"/>
      <c r="O568" s="175"/>
      <c r="P568" s="169"/>
    </row>
    <row r="569" spans="1:16" ht="31.5" hidden="1">
      <c r="A569" s="8"/>
      <c r="B569" s="24"/>
      <c r="C569" s="24"/>
      <c r="D569" s="24"/>
      <c r="E569" s="24"/>
      <c r="F569" s="25"/>
      <c r="G569" s="214" t="s">
        <v>2</v>
      </c>
      <c r="H569" s="121" t="s">
        <v>274</v>
      </c>
      <c r="I569" s="148">
        <v>200</v>
      </c>
      <c r="J569" s="1">
        <v>50000</v>
      </c>
      <c r="K569" s="1"/>
      <c r="L569" s="131"/>
      <c r="M569" s="131"/>
      <c r="N569" s="131"/>
      <c r="O569" s="175"/>
      <c r="P569" s="169"/>
    </row>
    <row r="570" spans="1:16" ht="47.25" hidden="1">
      <c r="A570" s="8"/>
      <c r="B570" s="24"/>
      <c r="C570" s="24"/>
      <c r="D570" s="24"/>
      <c r="E570" s="24"/>
      <c r="F570" s="25"/>
      <c r="G570" s="214" t="s">
        <v>498</v>
      </c>
      <c r="H570" s="7"/>
      <c r="I570" s="148"/>
      <c r="J570" s="1">
        <f>J571</f>
        <v>0</v>
      </c>
      <c r="K570" s="1"/>
      <c r="L570" s="131"/>
      <c r="M570" s="131"/>
      <c r="N570" s="131"/>
      <c r="O570" s="175"/>
      <c r="P570" s="169"/>
    </row>
    <row r="571" spans="1:16" ht="31.5" hidden="1">
      <c r="A571" s="8"/>
      <c r="B571" s="24"/>
      <c r="C571" s="24"/>
      <c r="D571" s="24"/>
      <c r="E571" s="24"/>
      <c r="F571" s="25"/>
      <c r="G571" s="214" t="s">
        <v>4</v>
      </c>
      <c r="H571" s="7" t="s">
        <v>497</v>
      </c>
      <c r="I571" s="148">
        <v>200</v>
      </c>
      <c r="J571" s="1">
        <v>0</v>
      </c>
      <c r="K571" s="1"/>
      <c r="L571" s="131"/>
      <c r="M571" s="131"/>
      <c r="N571" s="131"/>
      <c r="O571" s="175"/>
      <c r="P571" s="169"/>
    </row>
    <row r="572" spans="1:16" ht="15.75" hidden="1">
      <c r="A572" s="8"/>
      <c r="B572" s="24"/>
      <c r="C572" s="24"/>
      <c r="D572" s="24"/>
      <c r="E572" s="24"/>
      <c r="F572" s="25"/>
      <c r="G572" s="214"/>
      <c r="H572" s="7" t="s">
        <v>729</v>
      </c>
      <c r="I572" s="148"/>
      <c r="J572" s="1"/>
      <c r="K572" s="1"/>
      <c r="L572" s="131"/>
      <c r="M572" s="131"/>
      <c r="N572" s="131">
        <f>N573</f>
        <v>0</v>
      </c>
      <c r="O572" s="150"/>
      <c r="P572" s="169"/>
    </row>
    <row r="573" spans="1:16" ht="31.5" hidden="1">
      <c r="A573" s="8"/>
      <c r="B573" s="24"/>
      <c r="C573" s="24"/>
      <c r="D573" s="24"/>
      <c r="E573" s="24"/>
      <c r="F573" s="25"/>
      <c r="G573" s="214" t="s">
        <v>2</v>
      </c>
      <c r="H573" s="7"/>
      <c r="I573" s="148">
        <v>200</v>
      </c>
      <c r="J573" s="1"/>
      <c r="K573" s="1"/>
      <c r="L573" s="131"/>
      <c r="M573" s="131"/>
      <c r="N573" s="131"/>
      <c r="O573" s="150"/>
      <c r="P573" s="169"/>
    </row>
    <row r="574" spans="1:16" ht="42.75" customHeight="1">
      <c r="A574" s="8"/>
      <c r="B574" s="24"/>
      <c r="C574" s="24"/>
      <c r="D574" s="24"/>
      <c r="E574" s="24"/>
      <c r="F574" s="25"/>
      <c r="G574" s="214" t="s">
        <v>797</v>
      </c>
      <c r="H574" s="7" t="s">
        <v>796</v>
      </c>
      <c r="I574" s="148"/>
      <c r="J574" s="1"/>
      <c r="K574" s="1"/>
      <c r="L574" s="131"/>
      <c r="M574" s="131"/>
      <c r="N574" s="131">
        <f>N575</f>
        <v>0</v>
      </c>
      <c r="O574" s="150"/>
      <c r="P574" s="169"/>
    </row>
    <row r="575" spans="1:16" ht="63">
      <c r="A575" s="8"/>
      <c r="B575" s="24"/>
      <c r="C575" s="24"/>
      <c r="D575" s="24"/>
      <c r="E575" s="24"/>
      <c r="F575" s="25"/>
      <c r="G575" s="214" t="s">
        <v>3</v>
      </c>
      <c r="H575" s="7"/>
      <c r="I575" s="148">
        <v>100</v>
      </c>
      <c r="J575" s="1"/>
      <c r="K575" s="1"/>
      <c r="L575" s="131"/>
      <c r="M575" s="131"/>
      <c r="N575" s="131"/>
      <c r="O575" s="150"/>
      <c r="P575" s="169"/>
    </row>
    <row r="576" spans="1:16" s="54" customFormat="1" ht="65.25" customHeight="1">
      <c r="A576" s="51"/>
      <c r="B576" s="274" t="s">
        <v>27</v>
      </c>
      <c r="C576" s="274"/>
      <c r="D576" s="274"/>
      <c r="E576" s="274"/>
      <c r="F576" s="275"/>
      <c r="G576" s="218" t="s">
        <v>843</v>
      </c>
      <c r="H576" s="4" t="s">
        <v>413</v>
      </c>
      <c r="I576" s="148" t="s">
        <v>0</v>
      </c>
      <c r="J576" s="1">
        <f aca="true" t="shared" si="17" ref="J576:N577">J577</f>
        <v>9279483</v>
      </c>
      <c r="K576" s="1">
        <f t="shared" si="17"/>
        <v>309969</v>
      </c>
      <c r="L576" s="131">
        <f t="shared" si="17"/>
        <v>9589452</v>
      </c>
      <c r="M576" s="131">
        <f t="shared" si="17"/>
        <v>0</v>
      </c>
      <c r="N576" s="133">
        <f t="shared" si="17"/>
        <v>12766653</v>
      </c>
      <c r="O576" s="175"/>
      <c r="P576" s="167"/>
    </row>
    <row r="577" spans="1:16" s="54" customFormat="1" ht="63.75" customHeight="1">
      <c r="A577" s="51"/>
      <c r="B577" s="57"/>
      <c r="C577" s="57"/>
      <c r="D577" s="57"/>
      <c r="E577" s="57"/>
      <c r="F577" s="58"/>
      <c r="G577" s="212" t="s">
        <v>455</v>
      </c>
      <c r="H577" s="147" t="s">
        <v>414</v>
      </c>
      <c r="I577" s="148"/>
      <c r="J577" s="1">
        <f t="shared" si="17"/>
        <v>9279483</v>
      </c>
      <c r="K577" s="1">
        <f t="shared" si="17"/>
        <v>309969</v>
      </c>
      <c r="L577" s="131">
        <f t="shared" si="17"/>
        <v>9589452</v>
      </c>
      <c r="M577" s="131">
        <f t="shared" si="17"/>
        <v>0</v>
      </c>
      <c r="N577" s="132">
        <f t="shared" si="17"/>
        <v>12766653</v>
      </c>
      <c r="O577" s="179"/>
      <c r="P577" s="170"/>
    </row>
    <row r="578" spans="1:16" s="54" customFormat="1" ht="64.5" customHeight="1">
      <c r="A578" s="51"/>
      <c r="B578" s="284" t="s">
        <v>26</v>
      </c>
      <c r="C578" s="284"/>
      <c r="D578" s="284"/>
      <c r="E578" s="284"/>
      <c r="F578" s="285"/>
      <c r="G578" s="214" t="s">
        <v>844</v>
      </c>
      <c r="H578" s="7" t="s">
        <v>415</v>
      </c>
      <c r="I578" s="148" t="s">
        <v>0</v>
      </c>
      <c r="J578" s="1">
        <f>J579+J581+J582</f>
        <v>9279483</v>
      </c>
      <c r="K578" s="1">
        <f>K579+K581+K582</f>
        <v>309969</v>
      </c>
      <c r="L578" s="131">
        <f>L579+L581+L582</f>
        <v>9589452</v>
      </c>
      <c r="M578" s="131">
        <f>M579+M581+M582</f>
        <v>0</v>
      </c>
      <c r="N578" s="131">
        <f>N579+N581+N582+N580</f>
        <v>12766653</v>
      </c>
      <c r="O578" s="150"/>
      <c r="P578" s="169"/>
    </row>
    <row r="579" spans="1:16" s="54" customFormat="1" ht="67.5" customHeight="1">
      <c r="A579" s="51"/>
      <c r="B579" s="55"/>
      <c r="C579" s="55"/>
      <c r="D579" s="55"/>
      <c r="E579" s="55"/>
      <c r="F579" s="56"/>
      <c r="G579" s="214" t="s">
        <v>3</v>
      </c>
      <c r="H579" s="7"/>
      <c r="I579" s="148">
        <v>100</v>
      </c>
      <c r="J579" s="1">
        <v>6351046.63</v>
      </c>
      <c r="K579" s="1">
        <v>309969</v>
      </c>
      <c r="L579" s="131">
        <f>K579+J579</f>
        <v>6661015.63</v>
      </c>
      <c r="M579" s="131"/>
      <c r="N579" s="237">
        <f>7210419-15174</f>
        <v>7195245</v>
      </c>
      <c r="O579" s="150"/>
      <c r="P579" s="169"/>
    </row>
    <row r="580" spans="1:16" s="54" customFormat="1" ht="21" customHeight="1">
      <c r="A580" s="51"/>
      <c r="B580" s="241"/>
      <c r="C580" s="241"/>
      <c r="D580" s="241"/>
      <c r="E580" s="241"/>
      <c r="F580" s="242"/>
      <c r="G580" s="214" t="s">
        <v>5</v>
      </c>
      <c r="H580" s="7"/>
      <c r="I580" s="148">
        <v>300</v>
      </c>
      <c r="J580" s="1"/>
      <c r="K580" s="1"/>
      <c r="L580" s="131"/>
      <c r="M580" s="131"/>
      <c r="N580" s="237">
        <v>15174</v>
      </c>
      <c r="O580" s="150"/>
      <c r="P580" s="169"/>
    </row>
    <row r="581" spans="1:16" s="54" customFormat="1" ht="33" customHeight="1">
      <c r="A581" s="51"/>
      <c r="B581" s="55"/>
      <c r="C581" s="55"/>
      <c r="D581" s="55"/>
      <c r="E581" s="55"/>
      <c r="F581" s="56"/>
      <c r="G581" s="214" t="s">
        <v>2</v>
      </c>
      <c r="H581" s="121"/>
      <c r="I581" s="148">
        <v>200</v>
      </c>
      <c r="J581" s="1">
        <v>2702396.37</v>
      </c>
      <c r="K581" s="1"/>
      <c r="L581" s="131">
        <f>K581+J581</f>
        <v>2702396.37</v>
      </c>
      <c r="M581" s="131"/>
      <c r="N581" s="131">
        <f>3367820+1100000+466074+400000</f>
        <v>5333894</v>
      </c>
      <c r="O581" s="150"/>
      <c r="P581" s="169"/>
    </row>
    <row r="582" spans="1:16" s="54" customFormat="1" ht="18.75" customHeight="1">
      <c r="A582" s="51"/>
      <c r="B582" s="55"/>
      <c r="C582" s="55"/>
      <c r="D582" s="55"/>
      <c r="E582" s="55"/>
      <c r="F582" s="56"/>
      <c r="G582" s="214" t="s">
        <v>1</v>
      </c>
      <c r="H582" s="121"/>
      <c r="I582" s="148">
        <v>800</v>
      </c>
      <c r="J582" s="1">
        <v>226040</v>
      </c>
      <c r="K582" s="1"/>
      <c r="L582" s="131">
        <f>K582+J582</f>
        <v>226040</v>
      </c>
      <c r="M582" s="131"/>
      <c r="N582" s="131">
        <v>222340</v>
      </c>
      <c r="O582" s="175"/>
      <c r="P582" s="169"/>
    </row>
    <row r="583" spans="1:16" s="54" customFormat="1" ht="51.75" customHeight="1">
      <c r="A583" s="51"/>
      <c r="B583" s="52"/>
      <c r="C583" s="52"/>
      <c r="D583" s="52"/>
      <c r="E583" s="52"/>
      <c r="F583" s="53"/>
      <c r="G583" s="225" t="s">
        <v>845</v>
      </c>
      <c r="H583" s="4" t="s">
        <v>565</v>
      </c>
      <c r="I583" s="148"/>
      <c r="J583" s="1" t="e">
        <f>J585</f>
        <v>#REF!</v>
      </c>
      <c r="K583" s="1" t="e">
        <f>K585</f>
        <v>#REF!</v>
      </c>
      <c r="L583" s="131" t="e">
        <f>L585</f>
        <v>#REF!</v>
      </c>
      <c r="M583" s="131" t="e">
        <f>M585</f>
        <v>#REF!</v>
      </c>
      <c r="N583" s="133">
        <f>N586</f>
        <v>4345730</v>
      </c>
      <c r="O583" s="175"/>
      <c r="P583" s="167"/>
    </row>
    <row r="584" spans="1:16" s="54" customFormat="1" ht="60" customHeight="1">
      <c r="A584" s="51"/>
      <c r="B584" s="52"/>
      <c r="C584" s="52"/>
      <c r="D584" s="52"/>
      <c r="E584" s="52"/>
      <c r="F584" s="53"/>
      <c r="G584" s="222" t="s">
        <v>846</v>
      </c>
      <c r="H584" s="7" t="s">
        <v>566</v>
      </c>
      <c r="I584" s="148"/>
      <c r="J584" s="1" t="e">
        <f>J585</f>
        <v>#REF!</v>
      </c>
      <c r="K584" s="1" t="e">
        <f>K585</f>
        <v>#REF!</v>
      </c>
      <c r="L584" s="131" t="e">
        <f>L585</f>
        <v>#REF!</v>
      </c>
      <c r="M584" s="131" t="e">
        <f>M585</f>
        <v>#REF!</v>
      </c>
      <c r="N584" s="131">
        <f>N585</f>
        <v>4345730</v>
      </c>
      <c r="O584" s="150"/>
      <c r="P584" s="169"/>
    </row>
    <row r="585" spans="1:16" s="54" customFormat="1" ht="34.5" customHeight="1">
      <c r="A585" s="51"/>
      <c r="B585" s="52"/>
      <c r="C585" s="52"/>
      <c r="D585" s="52"/>
      <c r="E585" s="52"/>
      <c r="F585" s="53"/>
      <c r="G585" s="212" t="s">
        <v>461</v>
      </c>
      <c r="H585" s="147" t="s">
        <v>567</v>
      </c>
      <c r="I585" s="148"/>
      <c r="J585" s="1" t="e">
        <f>#REF!+J604</f>
        <v>#REF!</v>
      </c>
      <c r="K585" s="1" t="e">
        <f>#REF!+K604</f>
        <v>#REF!</v>
      </c>
      <c r="L585" s="131" t="e">
        <f>#REF!+L604</f>
        <v>#REF!</v>
      </c>
      <c r="M585" s="131" t="e">
        <f>#REF!+M604</f>
        <v>#REF!</v>
      </c>
      <c r="N585" s="131">
        <f>N586</f>
        <v>4345730</v>
      </c>
      <c r="O585" s="150"/>
      <c r="P585" s="169"/>
    </row>
    <row r="586" spans="1:16" s="54" customFormat="1" ht="84" customHeight="1">
      <c r="A586" s="51"/>
      <c r="B586" s="52"/>
      <c r="C586" s="52"/>
      <c r="D586" s="52"/>
      <c r="E586" s="52"/>
      <c r="F586" s="53"/>
      <c r="G586" s="223" t="s">
        <v>550</v>
      </c>
      <c r="H586" s="7" t="s">
        <v>568</v>
      </c>
      <c r="I586" s="148"/>
      <c r="J586" s="1"/>
      <c r="K586" s="1"/>
      <c r="L586" s="131"/>
      <c r="M586" s="131"/>
      <c r="N586" s="131">
        <f>N587+N607</f>
        <v>4345730</v>
      </c>
      <c r="O586" s="150"/>
      <c r="P586" s="169"/>
    </row>
    <row r="587" spans="1:16" s="54" customFormat="1" ht="31.5" customHeight="1">
      <c r="A587" s="51"/>
      <c r="B587" s="52"/>
      <c r="C587" s="52"/>
      <c r="D587" s="52"/>
      <c r="E587" s="52"/>
      <c r="F587" s="53"/>
      <c r="G587" s="214" t="s">
        <v>2</v>
      </c>
      <c r="H587" s="121"/>
      <c r="I587" s="148">
        <v>200</v>
      </c>
      <c r="J587" s="1">
        <v>420000</v>
      </c>
      <c r="K587" s="1">
        <v>0</v>
      </c>
      <c r="L587" s="131">
        <f>K587+J587</f>
        <v>420000</v>
      </c>
      <c r="M587" s="131"/>
      <c r="N587" s="131">
        <f>291000+108300+7530+73740+781830+36760+128000+36570+12000</f>
        <v>1475730</v>
      </c>
      <c r="O587" s="150"/>
      <c r="P587" s="169"/>
    </row>
    <row r="588" spans="1:16" ht="53.25" customHeight="1" hidden="1">
      <c r="A588" s="8"/>
      <c r="B588" s="24"/>
      <c r="C588" s="24"/>
      <c r="D588" s="24"/>
      <c r="E588" s="24"/>
      <c r="F588" s="25"/>
      <c r="G588" s="214" t="s">
        <v>240</v>
      </c>
      <c r="H588" s="121" t="s">
        <v>238</v>
      </c>
      <c r="I588" s="148"/>
      <c r="J588" s="1">
        <f>J591+J589</f>
        <v>21053</v>
      </c>
      <c r="K588" s="1"/>
      <c r="L588" s="131"/>
      <c r="M588" s="131"/>
      <c r="N588" s="131"/>
      <c r="O588" s="175"/>
      <c r="P588" s="169"/>
    </row>
    <row r="589" spans="1:16" ht="36.75" customHeight="1" hidden="1">
      <c r="A589" s="8"/>
      <c r="B589" s="24"/>
      <c r="C589" s="24"/>
      <c r="D589" s="24"/>
      <c r="E589" s="24"/>
      <c r="F589" s="25"/>
      <c r="G589" s="214" t="s">
        <v>299</v>
      </c>
      <c r="H589" s="121" t="s">
        <v>298</v>
      </c>
      <c r="I589" s="148"/>
      <c r="J589" s="1">
        <f>J590</f>
        <v>20000</v>
      </c>
      <c r="K589" s="1"/>
      <c r="L589" s="131"/>
      <c r="M589" s="131"/>
      <c r="N589" s="131"/>
      <c r="O589" s="175"/>
      <c r="P589" s="169"/>
    </row>
    <row r="590" spans="1:16" ht="33" customHeight="1" hidden="1">
      <c r="A590" s="8"/>
      <c r="B590" s="24"/>
      <c r="C590" s="24"/>
      <c r="D590" s="24"/>
      <c r="E590" s="24"/>
      <c r="F590" s="25"/>
      <c r="G590" s="214" t="s">
        <v>2</v>
      </c>
      <c r="H590" s="121"/>
      <c r="I590" s="148">
        <v>200</v>
      </c>
      <c r="J590" s="1">
        <v>20000</v>
      </c>
      <c r="K590" s="1"/>
      <c r="L590" s="131"/>
      <c r="M590" s="131"/>
      <c r="N590" s="131"/>
      <c r="O590" s="175"/>
      <c r="P590" s="169"/>
    </row>
    <row r="591" spans="1:16" ht="66" customHeight="1" hidden="1">
      <c r="A591" s="8"/>
      <c r="B591" s="24"/>
      <c r="C591" s="24"/>
      <c r="D591" s="24"/>
      <c r="E591" s="24"/>
      <c r="F591" s="25"/>
      <c r="G591" s="214" t="s">
        <v>239</v>
      </c>
      <c r="H591" s="121" t="s">
        <v>237</v>
      </c>
      <c r="I591" s="148"/>
      <c r="J591" s="1">
        <f>J592</f>
        <v>1053</v>
      </c>
      <c r="K591" s="1"/>
      <c r="L591" s="131"/>
      <c r="M591" s="131"/>
      <c r="N591" s="131"/>
      <c r="O591" s="175"/>
      <c r="P591" s="169"/>
    </row>
    <row r="592" spans="1:16" ht="36" customHeight="1" hidden="1">
      <c r="A592" s="8"/>
      <c r="B592" s="24"/>
      <c r="C592" s="24"/>
      <c r="D592" s="24"/>
      <c r="E592" s="24"/>
      <c r="F592" s="25"/>
      <c r="G592" s="214" t="s">
        <v>2</v>
      </c>
      <c r="H592" s="121"/>
      <c r="I592" s="148">
        <v>200</v>
      </c>
      <c r="J592" s="1">
        <v>1053</v>
      </c>
      <c r="K592" s="1"/>
      <c r="L592" s="131"/>
      <c r="M592" s="131"/>
      <c r="N592" s="131"/>
      <c r="O592" s="175"/>
      <c r="P592" s="169"/>
    </row>
    <row r="593" spans="1:16" ht="48" customHeight="1" hidden="1">
      <c r="A593" s="8"/>
      <c r="B593" s="24"/>
      <c r="C593" s="24"/>
      <c r="D593" s="24"/>
      <c r="E593" s="24"/>
      <c r="F593" s="25"/>
      <c r="G593" s="214" t="s">
        <v>282</v>
      </c>
      <c r="H593" s="121" t="s">
        <v>280</v>
      </c>
      <c r="I593" s="148"/>
      <c r="J593" s="1">
        <f>J596+J602+J598</f>
        <v>6757233</v>
      </c>
      <c r="K593" s="1"/>
      <c r="L593" s="131"/>
      <c r="M593" s="131"/>
      <c r="N593" s="131"/>
      <c r="O593" s="175"/>
      <c r="P593" s="169"/>
    </row>
    <row r="594" spans="1:16" ht="53.25" customHeight="1" hidden="1">
      <c r="A594" s="8"/>
      <c r="B594" s="24"/>
      <c r="C594" s="24"/>
      <c r="D594" s="24"/>
      <c r="E594" s="24"/>
      <c r="F594" s="25"/>
      <c r="G594" s="214"/>
      <c r="H594" s="121"/>
      <c r="I594" s="148"/>
      <c r="J594" s="1"/>
      <c r="K594" s="1"/>
      <c r="L594" s="131"/>
      <c r="M594" s="131"/>
      <c r="N594" s="131"/>
      <c r="O594" s="175"/>
      <c r="P594" s="169"/>
    </row>
    <row r="595" spans="1:16" ht="31.5" customHeight="1" hidden="1">
      <c r="A595" s="8"/>
      <c r="B595" s="24"/>
      <c r="C595" s="24"/>
      <c r="D595" s="24"/>
      <c r="E595" s="24"/>
      <c r="F595" s="25"/>
      <c r="G595" s="214"/>
      <c r="H595" s="121"/>
      <c r="I595" s="148"/>
      <c r="J595" s="1"/>
      <c r="K595" s="1"/>
      <c r="L595" s="131"/>
      <c r="M595" s="131"/>
      <c r="N595" s="131"/>
      <c r="O595" s="175"/>
      <c r="P595" s="169"/>
    </row>
    <row r="596" spans="1:16" ht="61.5" customHeight="1" hidden="1">
      <c r="A596" s="8"/>
      <c r="B596" s="24"/>
      <c r="C596" s="24"/>
      <c r="D596" s="24"/>
      <c r="E596" s="24"/>
      <c r="F596" s="25"/>
      <c r="G596" s="214" t="s">
        <v>283</v>
      </c>
      <c r="H596" s="121" t="s">
        <v>281</v>
      </c>
      <c r="I596" s="148"/>
      <c r="J596" s="1">
        <f>J597</f>
        <v>282378</v>
      </c>
      <c r="K596" s="1"/>
      <c r="L596" s="131"/>
      <c r="M596" s="131"/>
      <c r="N596" s="131"/>
      <c r="O596" s="175"/>
      <c r="P596" s="169"/>
    </row>
    <row r="597" spans="1:16" ht="36" customHeight="1" hidden="1">
      <c r="A597" s="8"/>
      <c r="B597" s="24"/>
      <c r="C597" s="24"/>
      <c r="D597" s="24"/>
      <c r="E597" s="24"/>
      <c r="F597" s="25"/>
      <c r="G597" s="214" t="s">
        <v>4</v>
      </c>
      <c r="H597" s="121"/>
      <c r="I597" s="148">
        <v>600</v>
      </c>
      <c r="J597" s="1">
        <v>282378</v>
      </c>
      <c r="K597" s="1"/>
      <c r="L597" s="131"/>
      <c r="M597" s="131"/>
      <c r="N597" s="131"/>
      <c r="O597" s="175"/>
      <c r="P597" s="169"/>
    </row>
    <row r="598" spans="1:16" ht="69.75" customHeight="1" hidden="1">
      <c r="A598" s="8"/>
      <c r="B598" s="24"/>
      <c r="C598" s="24"/>
      <c r="D598" s="24"/>
      <c r="E598" s="24"/>
      <c r="F598" s="25"/>
      <c r="G598" s="214" t="s">
        <v>295</v>
      </c>
      <c r="H598" s="121" t="s">
        <v>294</v>
      </c>
      <c r="I598" s="148"/>
      <c r="J598" s="1">
        <f>J599+J600+J601</f>
        <v>6201000</v>
      </c>
      <c r="K598" s="1"/>
      <c r="L598" s="131"/>
      <c r="M598" s="131"/>
      <c r="N598" s="131"/>
      <c r="O598" s="175"/>
      <c r="P598" s="169"/>
    </row>
    <row r="599" spans="1:16" ht="70.5" customHeight="1" hidden="1">
      <c r="A599" s="8"/>
      <c r="B599" s="24"/>
      <c r="C599" s="24"/>
      <c r="D599" s="24"/>
      <c r="E599" s="24"/>
      <c r="F599" s="25"/>
      <c r="G599" s="214" t="s">
        <v>293</v>
      </c>
      <c r="H599" s="121"/>
      <c r="I599" s="148">
        <v>100</v>
      </c>
      <c r="J599" s="1">
        <v>2500350</v>
      </c>
      <c r="K599" s="1"/>
      <c r="L599" s="131"/>
      <c r="M599" s="131"/>
      <c r="N599" s="131"/>
      <c r="O599" s="175"/>
      <c r="P599" s="169"/>
    </row>
    <row r="600" spans="1:16" ht="36" customHeight="1" hidden="1">
      <c r="A600" s="8"/>
      <c r="B600" s="24"/>
      <c r="C600" s="24"/>
      <c r="D600" s="24"/>
      <c r="E600" s="24"/>
      <c r="F600" s="25"/>
      <c r="G600" s="214" t="s">
        <v>2</v>
      </c>
      <c r="H600" s="121"/>
      <c r="I600" s="148">
        <v>200</v>
      </c>
      <c r="J600" s="1">
        <v>1116490</v>
      </c>
      <c r="K600" s="1"/>
      <c r="L600" s="131"/>
      <c r="M600" s="131"/>
      <c r="N600" s="131"/>
      <c r="O600" s="175"/>
      <c r="P600" s="169"/>
    </row>
    <row r="601" spans="1:16" ht="39" customHeight="1" hidden="1">
      <c r="A601" s="8"/>
      <c r="B601" s="24"/>
      <c r="C601" s="24"/>
      <c r="D601" s="24"/>
      <c r="E601" s="24"/>
      <c r="F601" s="25"/>
      <c r="G601" s="214" t="s">
        <v>4</v>
      </c>
      <c r="H601" s="121"/>
      <c r="I601" s="148">
        <v>600</v>
      </c>
      <c r="J601" s="1">
        <v>2584160</v>
      </c>
      <c r="K601" s="1"/>
      <c r="L601" s="131"/>
      <c r="M601" s="131"/>
      <c r="N601" s="131"/>
      <c r="O601" s="175"/>
      <c r="P601" s="169"/>
    </row>
    <row r="602" spans="1:16" ht="52.5" customHeight="1" hidden="1">
      <c r="A602" s="8"/>
      <c r="B602" s="24"/>
      <c r="C602" s="24"/>
      <c r="D602" s="24"/>
      <c r="E602" s="24"/>
      <c r="F602" s="25"/>
      <c r="G602" s="214" t="s">
        <v>278</v>
      </c>
      <c r="H602" s="121" t="s">
        <v>277</v>
      </c>
      <c r="I602" s="148"/>
      <c r="J602" s="1">
        <f>J603</f>
        <v>273855</v>
      </c>
      <c r="K602" s="1"/>
      <c r="L602" s="131"/>
      <c r="M602" s="131"/>
      <c r="N602" s="131"/>
      <c r="O602" s="175"/>
      <c r="P602" s="169"/>
    </row>
    <row r="603" spans="1:16" ht="31.5" customHeight="1" hidden="1">
      <c r="A603" s="8"/>
      <c r="B603" s="24"/>
      <c r="C603" s="24"/>
      <c r="D603" s="24"/>
      <c r="E603" s="24"/>
      <c r="F603" s="25"/>
      <c r="G603" s="214" t="s">
        <v>4</v>
      </c>
      <c r="H603" s="121"/>
      <c r="I603" s="148">
        <v>600</v>
      </c>
      <c r="J603" s="1">
        <v>273855</v>
      </c>
      <c r="K603" s="1"/>
      <c r="L603" s="131"/>
      <c r="M603" s="131"/>
      <c r="N603" s="131"/>
      <c r="O603" s="175"/>
      <c r="P603" s="169"/>
    </row>
    <row r="604" spans="1:16" ht="66" customHeight="1" hidden="1">
      <c r="A604" s="8"/>
      <c r="B604" s="24"/>
      <c r="C604" s="24"/>
      <c r="D604" s="24"/>
      <c r="E604" s="24"/>
      <c r="F604" s="25"/>
      <c r="G604" s="214" t="s">
        <v>471</v>
      </c>
      <c r="H604" s="7" t="s">
        <v>462</v>
      </c>
      <c r="I604" s="148"/>
      <c r="J604" s="1">
        <f>J605</f>
        <v>0</v>
      </c>
      <c r="K604" s="1"/>
      <c r="L604" s="131"/>
      <c r="M604" s="131"/>
      <c r="N604" s="131"/>
      <c r="O604" s="175"/>
      <c r="P604" s="169"/>
    </row>
    <row r="605" spans="1:16" ht="31.5" customHeight="1" hidden="1">
      <c r="A605" s="8"/>
      <c r="B605" s="24"/>
      <c r="C605" s="24"/>
      <c r="D605" s="24"/>
      <c r="E605" s="24"/>
      <c r="F605" s="25"/>
      <c r="G605" s="214" t="s">
        <v>2</v>
      </c>
      <c r="H605" s="121"/>
      <c r="I605" s="148">
        <v>200</v>
      </c>
      <c r="J605" s="1">
        <v>0</v>
      </c>
      <c r="K605" s="1"/>
      <c r="L605" s="131"/>
      <c r="M605" s="131"/>
      <c r="N605" s="131"/>
      <c r="O605" s="175"/>
      <c r="P605" s="169"/>
    </row>
    <row r="606" spans="1:16" ht="31.5" customHeight="1" hidden="1">
      <c r="A606" s="8"/>
      <c r="B606" s="24"/>
      <c r="C606" s="24"/>
      <c r="D606" s="24"/>
      <c r="E606" s="24"/>
      <c r="F606" s="25"/>
      <c r="G606" s="214" t="s">
        <v>6</v>
      </c>
      <c r="H606" s="121"/>
      <c r="I606" s="148">
        <v>500</v>
      </c>
      <c r="J606" s="1"/>
      <c r="K606" s="1"/>
      <c r="L606" s="131"/>
      <c r="M606" s="131"/>
      <c r="N606" s="131"/>
      <c r="O606" s="150"/>
      <c r="P606" s="169"/>
    </row>
    <row r="607" spans="1:16" ht="23.25" customHeight="1">
      <c r="A607" s="8"/>
      <c r="B607" s="24"/>
      <c r="C607" s="24"/>
      <c r="D607" s="24"/>
      <c r="E607" s="24"/>
      <c r="F607" s="25"/>
      <c r="G607" s="214" t="s">
        <v>6</v>
      </c>
      <c r="H607" s="121"/>
      <c r="I607" s="148">
        <v>500</v>
      </c>
      <c r="J607" s="1"/>
      <c r="K607" s="1"/>
      <c r="L607" s="131"/>
      <c r="M607" s="131"/>
      <c r="N607" s="131">
        <v>2870000</v>
      </c>
      <c r="O607" s="150"/>
      <c r="P607" s="169"/>
    </row>
    <row r="608" spans="1:16" ht="34.5" customHeight="1">
      <c r="A608" s="8"/>
      <c r="B608" s="268" t="s">
        <v>25</v>
      </c>
      <c r="C608" s="268"/>
      <c r="D608" s="268"/>
      <c r="E608" s="268"/>
      <c r="F608" s="269"/>
      <c r="G608" s="218" t="s">
        <v>847</v>
      </c>
      <c r="H608" s="4" t="s">
        <v>404</v>
      </c>
      <c r="I608" s="189" t="s">
        <v>0</v>
      </c>
      <c r="J608" s="5">
        <f aca="true" t="shared" si="18" ref="J608:N611">J609</f>
        <v>1795200</v>
      </c>
      <c r="K608" s="5">
        <f t="shared" si="18"/>
        <v>0</v>
      </c>
      <c r="L608" s="131">
        <f t="shared" si="18"/>
        <v>1795200</v>
      </c>
      <c r="M608" s="131">
        <f t="shared" si="18"/>
        <v>0</v>
      </c>
      <c r="N608" s="131">
        <f t="shared" si="18"/>
        <v>2026298</v>
      </c>
      <c r="O608" s="175"/>
      <c r="P608" s="169"/>
    </row>
    <row r="609" spans="1:16" ht="20.25" customHeight="1">
      <c r="A609" s="8"/>
      <c r="B609" s="276" t="s">
        <v>24</v>
      </c>
      <c r="C609" s="276"/>
      <c r="D609" s="276"/>
      <c r="E609" s="276"/>
      <c r="F609" s="277"/>
      <c r="G609" s="214" t="s">
        <v>848</v>
      </c>
      <c r="H609" s="7" t="s">
        <v>405</v>
      </c>
      <c r="I609" s="148" t="s">
        <v>0</v>
      </c>
      <c r="J609" s="1">
        <f t="shared" si="18"/>
        <v>1795200</v>
      </c>
      <c r="K609" s="1">
        <f t="shared" si="18"/>
        <v>0</v>
      </c>
      <c r="L609" s="131">
        <f t="shared" si="18"/>
        <v>1795200</v>
      </c>
      <c r="M609" s="131">
        <f t="shared" si="18"/>
        <v>0</v>
      </c>
      <c r="N609" s="131">
        <f>N610</f>
        <v>2026298</v>
      </c>
      <c r="O609" s="175"/>
      <c r="P609" s="169"/>
    </row>
    <row r="610" spans="1:16" ht="51.75" customHeight="1">
      <c r="A610" s="8"/>
      <c r="B610" s="18"/>
      <c r="C610" s="18"/>
      <c r="D610" s="18"/>
      <c r="E610" s="18"/>
      <c r="F610" s="19"/>
      <c r="G610" s="212" t="s">
        <v>518</v>
      </c>
      <c r="H610" s="147" t="s">
        <v>406</v>
      </c>
      <c r="I610" s="148"/>
      <c r="J610" s="1">
        <f t="shared" si="18"/>
        <v>1795200</v>
      </c>
      <c r="K610" s="1">
        <f t="shared" si="18"/>
        <v>0</v>
      </c>
      <c r="L610" s="131">
        <f t="shared" si="18"/>
        <v>1795200</v>
      </c>
      <c r="M610" s="131">
        <f t="shared" si="18"/>
        <v>0</v>
      </c>
      <c r="N610" s="131">
        <f t="shared" si="18"/>
        <v>2026298</v>
      </c>
      <c r="O610" s="175"/>
      <c r="P610" s="169"/>
    </row>
    <row r="611" spans="1:16" ht="40.5" customHeight="1">
      <c r="A611" s="8"/>
      <c r="B611" s="270" t="s">
        <v>23</v>
      </c>
      <c r="C611" s="270"/>
      <c r="D611" s="270"/>
      <c r="E611" s="270"/>
      <c r="F611" s="271"/>
      <c r="G611" s="214" t="s">
        <v>849</v>
      </c>
      <c r="H611" s="7" t="s">
        <v>407</v>
      </c>
      <c r="I611" s="148" t="s">
        <v>0</v>
      </c>
      <c r="J611" s="1">
        <f t="shared" si="18"/>
        <v>1795200</v>
      </c>
      <c r="K611" s="1">
        <f t="shared" si="18"/>
        <v>0</v>
      </c>
      <c r="L611" s="131">
        <f t="shared" si="18"/>
        <v>1795200</v>
      </c>
      <c r="M611" s="131">
        <f t="shared" si="18"/>
        <v>0</v>
      </c>
      <c r="N611" s="131">
        <f t="shared" si="18"/>
        <v>2026298</v>
      </c>
      <c r="O611" s="175"/>
      <c r="P611" s="169"/>
    </row>
    <row r="612" spans="1:16" ht="31.5">
      <c r="A612" s="8"/>
      <c r="B612" s="260">
        <v>200</v>
      </c>
      <c r="C612" s="260"/>
      <c r="D612" s="260"/>
      <c r="E612" s="260"/>
      <c r="F612" s="261"/>
      <c r="G612" s="214" t="s">
        <v>4</v>
      </c>
      <c r="H612" s="7" t="s">
        <v>0</v>
      </c>
      <c r="I612" s="148">
        <v>600</v>
      </c>
      <c r="J612" s="1">
        <v>1795200</v>
      </c>
      <c r="K612" s="1"/>
      <c r="L612" s="131">
        <f>K612+J612</f>
        <v>1795200</v>
      </c>
      <c r="M612" s="131"/>
      <c r="N612" s="131">
        <v>2026298</v>
      </c>
      <c r="O612" s="175"/>
      <c r="P612" s="169"/>
    </row>
    <row r="613" spans="1:16" ht="46.5" customHeight="1">
      <c r="A613" s="8"/>
      <c r="B613" s="268" t="s">
        <v>22</v>
      </c>
      <c r="C613" s="268"/>
      <c r="D613" s="268"/>
      <c r="E613" s="268"/>
      <c r="F613" s="269"/>
      <c r="G613" s="225" t="s">
        <v>850</v>
      </c>
      <c r="H613" s="4" t="s">
        <v>416</v>
      </c>
      <c r="I613" s="189" t="s">
        <v>0</v>
      </c>
      <c r="J613" s="5">
        <f>J614+J635</f>
        <v>39081138</v>
      </c>
      <c r="K613" s="5">
        <f>K614+K635</f>
        <v>0</v>
      </c>
      <c r="L613" s="131">
        <f>L614+L635</f>
        <v>39081138</v>
      </c>
      <c r="M613" s="131">
        <f>M614+M635</f>
        <v>0</v>
      </c>
      <c r="N613" s="131">
        <f>N614+N635</f>
        <v>44587346</v>
      </c>
      <c r="O613" s="175"/>
      <c r="P613" s="169"/>
    </row>
    <row r="614" spans="1:16" ht="46.5" customHeight="1">
      <c r="A614" s="8"/>
      <c r="B614" s="276" t="s">
        <v>21</v>
      </c>
      <c r="C614" s="276"/>
      <c r="D614" s="276"/>
      <c r="E614" s="276"/>
      <c r="F614" s="277"/>
      <c r="G614" s="221" t="s">
        <v>851</v>
      </c>
      <c r="H614" s="4" t="s">
        <v>417</v>
      </c>
      <c r="I614" s="148" t="s">
        <v>0</v>
      </c>
      <c r="J614" s="1">
        <f>J615</f>
        <v>31097625</v>
      </c>
      <c r="K614" s="1">
        <f>K615</f>
        <v>0</v>
      </c>
      <c r="L614" s="131">
        <f>L615</f>
        <v>31097625</v>
      </c>
      <c r="M614" s="131">
        <f>M615</f>
        <v>0</v>
      </c>
      <c r="N614" s="131">
        <f>N615</f>
        <v>36324827</v>
      </c>
      <c r="O614" s="175"/>
      <c r="P614" s="169"/>
    </row>
    <row r="615" spans="1:16" ht="36.75" customHeight="1">
      <c r="A615" s="8"/>
      <c r="B615" s="18"/>
      <c r="C615" s="18"/>
      <c r="D615" s="18"/>
      <c r="E615" s="18"/>
      <c r="F615" s="19"/>
      <c r="G615" s="224" t="s">
        <v>456</v>
      </c>
      <c r="H615" s="147" t="s">
        <v>418</v>
      </c>
      <c r="I615" s="148"/>
      <c r="J615" s="1">
        <f>J616+J624+J632+J626</f>
        <v>31097625</v>
      </c>
      <c r="K615" s="1">
        <f>K616+K624+K632+K626</f>
        <v>0</v>
      </c>
      <c r="L615" s="131">
        <f>L616+L624+L632+L626</f>
        <v>31097625</v>
      </c>
      <c r="M615" s="131">
        <f>M616+M624+M632+M626</f>
        <v>0</v>
      </c>
      <c r="N615" s="131">
        <f>N616+N624+N632+N626+N628+N630</f>
        <v>36324827</v>
      </c>
      <c r="O615" s="175"/>
      <c r="P615" s="169"/>
    </row>
    <row r="616" spans="1:16" ht="52.5" customHeight="1">
      <c r="A616" s="8"/>
      <c r="B616" s="270" t="s">
        <v>20</v>
      </c>
      <c r="C616" s="270"/>
      <c r="D616" s="270"/>
      <c r="E616" s="270"/>
      <c r="F616" s="271"/>
      <c r="G616" s="223" t="s">
        <v>852</v>
      </c>
      <c r="H616" s="7" t="s">
        <v>419</v>
      </c>
      <c r="I616" s="148" t="s">
        <v>0</v>
      </c>
      <c r="J616" s="1">
        <f>J617</f>
        <v>19085713</v>
      </c>
      <c r="K616" s="1">
        <f>K617</f>
        <v>0</v>
      </c>
      <c r="L616" s="131">
        <f>L617</f>
        <v>19085713</v>
      </c>
      <c r="M616" s="131">
        <f>M617</f>
        <v>0</v>
      </c>
      <c r="N616" s="131">
        <f>N617</f>
        <v>19098271</v>
      </c>
      <c r="O616" s="175"/>
      <c r="P616" s="169"/>
    </row>
    <row r="617" spans="1:16" ht="31.5">
      <c r="A617" s="8"/>
      <c r="B617" s="270">
        <v>200</v>
      </c>
      <c r="C617" s="270"/>
      <c r="D617" s="270"/>
      <c r="E617" s="270"/>
      <c r="F617" s="271"/>
      <c r="G617" s="214" t="s">
        <v>2</v>
      </c>
      <c r="H617" s="7" t="s">
        <v>0</v>
      </c>
      <c r="I617" s="148">
        <v>200</v>
      </c>
      <c r="J617" s="1">
        <v>19085713</v>
      </c>
      <c r="K617" s="1">
        <v>0</v>
      </c>
      <c r="L617" s="131">
        <f>K617+J617</f>
        <v>19085713</v>
      </c>
      <c r="M617" s="131">
        <v>0</v>
      </c>
      <c r="N617" s="131">
        <f>11952157+8280364-1134250</f>
        <v>19098271</v>
      </c>
      <c r="O617" s="175"/>
      <c r="P617" s="169"/>
    </row>
    <row r="618" spans="1:16" ht="31.5" hidden="1">
      <c r="A618" s="8"/>
      <c r="B618" s="24"/>
      <c r="C618" s="24"/>
      <c r="D618" s="24"/>
      <c r="E618" s="24"/>
      <c r="F618" s="25"/>
      <c r="G618" s="214" t="s">
        <v>148</v>
      </c>
      <c r="H618" s="7" t="s">
        <v>420</v>
      </c>
      <c r="I618" s="148"/>
      <c r="J618" s="1">
        <f>J619</f>
        <v>0</v>
      </c>
      <c r="K618" s="1"/>
      <c r="L618" s="131"/>
      <c r="M618" s="131"/>
      <c r="N618" s="131"/>
      <c r="O618" s="175"/>
      <c r="P618" s="169"/>
    </row>
    <row r="619" spans="1:16" ht="15.75" hidden="1">
      <c r="A619" s="8"/>
      <c r="B619" s="24"/>
      <c r="C619" s="24"/>
      <c r="D619" s="24"/>
      <c r="E619" s="24"/>
      <c r="F619" s="25"/>
      <c r="G619" s="214" t="s">
        <v>6</v>
      </c>
      <c r="H619" s="7"/>
      <c r="I619" s="148">
        <v>500</v>
      </c>
      <c r="J619" s="1">
        <v>0</v>
      </c>
      <c r="K619" s="1"/>
      <c r="L619" s="131"/>
      <c r="M619" s="131"/>
      <c r="N619" s="131"/>
      <c r="O619" s="175"/>
      <c r="P619" s="169"/>
    </row>
    <row r="620" spans="1:16" s="82" customFormat="1" ht="15.75" hidden="1">
      <c r="A620" s="81"/>
      <c r="B620" s="290" t="s">
        <v>19</v>
      </c>
      <c r="C620" s="290"/>
      <c r="D620" s="290"/>
      <c r="E620" s="290"/>
      <c r="F620" s="291"/>
      <c r="G620" s="214" t="s">
        <v>124</v>
      </c>
      <c r="H620" s="7" t="s">
        <v>421</v>
      </c>
      <c r="I620" s="148" t="s">
        <v>0</v>
      </c>
      <c r="J620" s="1">
        <v>0</v>
      </c>
      <c r="K620" s="1"/>
      <c r="L620" s="131"/>
      <c r="M620" s="131"/>
      <c r="N620" s="131"/>
      <c r="O620" s="175"/>
      <c r="P620" s="169"/>
    </row>
    <row r="621" spans="1:16" s="82" customFormat="1" ht="32.25" customHeight="1" hidden="1">
      <c r="A621" s="81"/>
      <c r="B621" s="83"/>
      <c r="C621" s="83"/>
      <c r="D621" s="83"/>
      <c r="E621" s="83"/>
      <c r="F621" s="84"/>
      <c r="G621" s="214" t="s">
        <v>2</v>
      </c>
      <c r="H621" s="7"/>
      <c r="I621" s="148">
        <v>200</v>
      </c>
      <c r="J621" s="1">
        <v>0</v>
      </c>
      <c r="K621" s="1"/>
      <c r="L621" s="131"/>
      <c r="M621" s="131"/>
      <c r="N621" s="131"/>
      <c r="O621" s="175"/>
      <c r="P621" s="169"/>
    </row>
    <row r="622" spans="1:16" ht="68.25" customHeight="1" hidden="1">
      <c r="A622" s="8"/>
      <c r="B622" s="24"/>
      <c r="C622" s="24"/>
      <c r="D622" s="24"/>
      <c r="E622" s="24"/>
      <c r="F622" s="25"/>
      <c r="G622" s="214" t="s">
        <v>476</v>
      </c>
      <c r="H622" s="7" t="s">
        <v>475</v>
      </c>
      <c r="I622" s="148"/>
      <c r="J622" s="1">
        <f>J623</f>
        <v>0</v>
      </c>
      <c r="K622" s="1"/>
      <c r="L622" s="131"/>
      <c r="M622" s="131"/>
      <c r="N622" s="131"/>
      <c r="O622" s="175"/>
      <c r="P622" s="169"/>
    </row>
    <row r="623" spans="1:16" ht="32.25" customHeight="1" hidden="1">
      <c r="A623" s="8"/>
      <c r="B623" s="24"/>
      <c r="C623" s="24"/>
      <c r="D623" s="24"/>
      <c r="E623" s="24"/>
      <c r="F623" s="25"/>
      <c r="G623" s="214" t="s">
        <v>2</v>
      </c>
      <c r="H623" s="7"/>
      <c r="I623" s="148">
        <v>200</v>
      </c>
      <c r="J623" s="1"/>
      <c r="K623" s="1"/>
      <c r="L623" s="131"/>
      <c r="M623" s="131"/>
      <c r="N623" s="131"/>
      <c r="O623" s="175"/>
      <c r="P623" s="169"/>
    </row>
    <row r="624" spans="1:16" ht="33.75" customHeight="1">
      <c r="A624" s="8"/>
      <c r="B624" s="24"/>
      <c r="C624" s="24"/>
      <c r="D624" s="24"/>
      <c r="E624" s="24"/>
      <c r="F624" s="25"/>
      <c r="G624" s="214" t="s">
        <v>600</v>
      </c>
      <c r="H624" s="7" t="s">
        <v>420</v>
      </c>
      <c r="I624" s="148"/>
      <c r="J624" s="1">
        <f>J625</f>
        <v>2363511</v>
      </c>
      <c r="K624" s="1">
        <f>K625</f>
        <v>0</v>
      </c>
      <c r="L624" s="131">
        <f>L625</f>
        <v>2363511</v>
      </c>
      <c r="M624" s="131">
        <f>M625</f>
        <v>0</v>
      </c>
      <c r="N624" s="131">
        <f>N625</f>
        <v>0</v>
      </c>
      <c r="O624" s="175"/>
      <c r="P624" s="169"/>
    </row>
    <row r="625" spans="1:16" ht="22.5" customHeight="1">
      <c r="A625" s="8"/>
      <c r="B625" s="24"/>
      <c r="C625" s="24"/>
      <c r="D625" s="24"/>
      <c r="E625" s="24"/>
      <c r="F625" s="25"/>
      <c r="G625" s="214" t="s">
        <v>6</v>
      </c>
      <c r="H625" s="7"/>
      <c r="I625" s="148">
        <v>500</v>
      </c>
      <c r="J625" s="1">
        <v>2363511</v>
      </c>
      <c r="K625" s="1"/>
      <c r="L625" s="131">
        <f>K625+J625</f>
        <v>2363511</v>
      </c>
      <c r="M625" s="131"/>
      <c r="N625" s="131"/>
      <c r="O625" s="175"/>
      <c r="P625" s="169"/>
    </row>
    <row r="626" spans="1:16" ht="39" customHeight="1">
      <c r="A626" s="8"/>
      <c r="B626" s="24"/>
      <c r="C626" s="24"/>
      <c r="D626" s="24"/>
      <c r="E626" s="24"/>
      <c r="F626" s="25"/>
      <c r="G626" s="214" t="s">
        <v>619</v>
      </c>
      <c r="H626" s="7" t="s">
        <v>618</v>
      </c>
      <c r="I626" s="148"/>
      <c r="J626" s="1">
        <f>J627</f>
        <v>1534332</v>
      </c>
      <c r="K626" s="1">
        <f>K627</f>
        <v>0</v>
      </c>
      <c r="L626" s="131">
        <f>L627</f>
        <v>1534332</v>
      </c>
      <c r="M626" s="131">
        <f>M627</f>
        <v>0</v>
      </c>
      <c r="N626" s="131">
        <f>N627</f>
        <v>1656827</v>
      </c>
      <c r="O626" s="175"/>
      <c r="P626" s="169"/>
    </row>
    <row r="627" spans="1:16" ht="34.5" customHeight="1">
      <c r="A627" s="8"/>
      <c r="B627" s="24"/>
      <c r="C627" s="24"/>
      <c r="D627" s="24"/>
      <c r="E627" s="24"/>
      <c r="F627" s="25"/>
      <c r="G627" s="214" t="s">
        <v>2</v>
      </c>
      <c r="H627" s="7"/>
      <c r="I627" s="148">
        <v>200</v>
      </c>
      <c r="J627" s="1">
        <v>1534332</v>
      </c>
      <c r="K627" s="1">
        <v>0</v>
      </c>
      <c r="L627" s="131">
        <f>K627+J627</f>
        <v>1534332</v>
      </c>
      <c r="M627" s="131">
        <v>0</v>
      </c>
      <c r="N627" s="131">
        <f>276843+1134250+245734</f>
        <v>1656827</v>
      </c>
      <c r="O627" s="175"/>
      <c r="P627" s="169"/>
    </row>
    <row r="628" spans="1:16" ht="73.5" customHeight="1">
      <c r="A628" s="8"/>
      <c r="B628" s="24"/>
      <c r="C628" s="24"/>
      <c r="D628" s="24"/>
      <c r="E628" s="24"/>
      <c r="F628" s="25"/>
      <c r="G628" s="214" t="s">
        <v>877</v>
      </c>
      <c r="H628" s="7" t="s">
        <v>875</v>
      </c>
      <c r="I628" s="148"/>
      <c r="J628" s="1"/>
      <c r="K628" s="1"/>
      <c r="L628" s="131"/>
      <c r="M628" s="131"/>
      <c r="N628" s="131">
        <f>N629</f>
        <v>489842</v>
      </c>
      <c r="O628" s="175"/>
      <c r="P628" s="169"/>
    </row>
    <row r="629" spans="1:16" ht="34.5" customHeight="1">
      <c r="A629" s="8"/>
      <c r="B629" s="24"/>
      <c r="C629" s="24"/>
      <c r="D629" s="24"/>
      <c r="E629" s="24"/>
      <c r="F629" s="25"/>
      <c r="G629" s="214" t="s">
        <v>2</v>
      </c>
      <c r="H629" s="7"/>
      <c r="I629" s="148">
        <v>200</v>
      </c>
      <c r="J629" s="1"/>
      <c r="K629" s="1"/>
      <c r="L629" s="131"/>
      <c r="M629" s="131"/>
      <c r="N629" s="131">
        <v>489842</v>
      </c>
      <c r="O629" s="175"/>
      <c r="P629" s="169"/>
    </row>
    <row r="630" spans="1:16" ht="66" customHeight="1">
      <c r="A630" s="8"/>
      <c r="B630" s="24"/>
      <c r="C630" s="24"/>
      <c r="D630" s="24"/>
      <c r="E630" s="24"/>
      <c r="F630" s="25"/>
      <c r="G630" s="214" t="s">
        <v>878</v>
      </c>
      <c r="H630" s="7" t="s">
        <v>876</v>
      </c>
      <c r="I630" s="148"/>
      <c r="J630" s="1"/>
      <c r="K630" s="1"/>
      <c r="L630" s="131"/>
      <c r="M630" s="131"/>
      <c r="N630" s="131">
        <f>N631</f>
        <v>4110795</v>
      </c>
      <c r="O630" s="175"/>
      <c r="P630" s="169"/>
    </row>
    <row r="631" spans="1:16" ht="34.5" customHeight="1">
      <c r="A631" s="8"/>
      <c r="B631" s="24"/>
      <c r="C631" s="24"/>
      <c r="D631" s="24"/>
      <c r="E631" s="24"/>
      <c r="F631" s="25"/>
      <c r="G631" s="214" t="s">
        <v>2</v>
      </c>
      <c r="H631" s="7"/>
      <c r="I631" s="148">
        <v>200</v>
      </c>
      <c r="J631" s="1"/>
      <c r="K631" s="1"/>
      <c r="L631" s="131"/>
      <c r="M631" s="131"/>
      <c r="N631" s="131">
        <v>4110795</v>
      </c>
      <c r="O631" s="175"/>
      <c r="P631" s="169"/>
    </row>
    <row r="632" spans="1:16" ht="32.25" customHeight="1">
      <c r="A632" s="8"/>
      <c r="B632" s="24"/>
      <c r="C632" s="24"/>
      <c r="D632" s="24"/>
      <c r="E632" s="24"/>
      <c r="F632" s="25"/>
      <c r="G632" s="214" t="s">
        <v>613</v>
      </c>
      <c r="H632" s="7" t="s">
        <v>421</v>
      </c>
      <c r="I632" s="148"/>
      <c r="J632" s="1">
        <f>J633</f>
        <v>8114069</v>
      </c>
      <c r="K632" s="1">
        <f>K633</f>
        <v>0</v>
      </c>
      <c r="L632" s="131">
        <f>L633</f>
        <v>8114069</v>
      </c>
      <c r="M632" s="131">
        <f>M633</f>
        <v>0</v>
      </c>
      <c r="N632" s="131">
        <f>N633</f>
        <v>10969092</v>
      </c>
      <c r="O632" s="175"/>
      <c r="P632" s="169"/>
    </row>
    <row r="633" spans="1:16" ht="33.75" customHeight="1">
      <c r="A633" s="8"/>
      <c r="B633" s="24"/>
      <c r="C633" s="24"/>
      <c r="D633" s="24"/>
      <c r="E633" s="24"/>
      <c r="F633" s="25"/>
      <c r="G633" s="214" t="s">
        <v>2</v>
      </c>
      <c r="H633" s="7"/>
      <c r="I633" s="148">
        <v>200</v>
      </c>
      <c r="J633" s="1">
        <v>8114069</v>
      </c>
      <c r="K633" s="1">
        <v>0</v>
      </c>
      <c r="L633" s="131">
        <f>K633+J633</f>
        <v>8114069</v>
      </c>
      <c r="M633" s="131"/>
      <c r="N633" s="131">
        <f>8114069+2855023</f>
        <v>10969092</v>
      </c>
      <c r="O633" s="175"/>
      <c r="P633" s="169"/>
    </row>
    <row r="634" spans="1:16" ht="22.5" customHeight="1" hidden="1">
      <c r="A634" s="8"/>
      <c r="B634" s="24"/>
      <c r="C634" s="24"/>
      <c r="D634" s="24"/>
      <c r="E634" s="24"/>
      <c r="F634" s="25"/>
      <c r="G634" s="214"/>
      <c r="H634" s="7"/>
      <c r="I634" s="148"/>
      <c r="J634" s="1"/>
      <c r="K634" s="1"/>
      <c r="L634" s="131"/>
      <c r="M634" s="131"/>
      <c r="N634" s="131"/>
      <c r="O634" s="175"/>
      <c r="P634" s="169"/>
    </row>
    <row r="635" spans="1:16" ht="35.25" customHeight="1">
      <c r="A635" s="8"/>
      <c r="B635" s="24"/>
      <c r="C635" s="24"/>
      <c r="D635" s="24"/>
      <c r="E635" s="24"/>
      <c r="F635" s="25"/>
      <c r="G635" s="225" t="s">
        <v>853</v>
      </c>
      <c r="H635" s="4" t="s">
        <v>422</v>
      </c>
      <c r="I635" s="148"/>
      <c r="J635" s="1">
        <f>J636+J640</f>
        <v>7983513</v>
      </c>
      <c r="K635" s="1">
        <f>K636+K640</f>
        <v>0</v>
      </c>
      <c r="L635" s="131">
        <f>L636+L640</f>
        <v>7983513</v>
      </c>
      <c r="M635" s="131">
        <f>M636+M640</f>
        <v>0</v>
      </c>
      <c r="N635" s="131">
        <f>N636+N640</f>
        <v>8262519</v>
      </c>
      <c r="O635" s="175"/>
      <c r="P635" s="169"/>
    </row>
    <row r="636" spans="1:16" ht="53.25" customHeight="1">
      <c r="A636" s="8"/>
      <c r="B636" s="24"/>
      <c r="C636" s="24"/>
      <c r="D636" s="24"/>
      <c r="E636" s="24"/>
      <c r="F636" s="25"/>
      <c r="G636" s="224" t="s">
        <v>424</v>
      </c>
      <c r="H636" s="147" t="s">
        <v>423</v>
      </c>
      <c r="I636" s="148"/>
      <c r="J636" s="1">
        <f>J637</f>
        <v>7963000</v>
      </c>
      <c r="K636" s="1">
        <f>K637</f>
        <v>0</v>
      </c>
      <c r="L636" s="131">
        <f>L637</f>
        <v>7963000</v>
      </c>
      <c r="M636" s="131">
        <f>M637</f>
        <v>0</v>
      </c>
      <c r="N636" s="131">
        <f>N637</f>
        <v>8218000</v>
      </c>
      <c r="O636" s="175"/>
      <c r="P636" s="169"/>
    </row>
    <row r="637" spans="1:16" ht="47.25" customHeight="1">
      <c r="A637" s="8"/>
      <c r="B637" s="24"/>
      <c r="C637" s="24"/>
      <c r="D637" s="24"/>
      <c r="E637" s="24"/>
      <c r="F637" s="25"/>
      <c r="G637" s="222" t="s">
        <v>734</v>
      </c>
      <c r="H637" s="7" t="s">
        <v>425</v>
      </c>
      <c r="I637" s="148"/>
      <c r="J637" s="1">
        <f>J639</f>
        <v>7963000</v>
      </c>
      <c r="K637" s="1">
        <f>K639</f>
        <v>0</v>
      </c>
      <c r="L637" s="131">
        <f>L639</f>
        <v>7963000</v>
      </c>
      <c r="M637" s="131">
        <f>M639</f>
        <v>0</v>
      </c>
      <c r="N637" s="131">
        <f>N638+N639</f>
        <v>8218000</v>
      </c>
      <c r="O637" s="175"/>
      <c r="P637" s="169"/>
    </row>
    <row r="638" spans="1:16" ht="32.25" customHeight="1">
      <c r="A638" s="8"/>
      <c r="B638" s="24"/>
      <c r="C638" s="24"/>
      <c r="D638" s="24"/>
      <c r="E638" s="24"/>
      <c r="F638" s="25"/>
      <c r="G638" s="214" t="s">
        <v>2</v>
      </c>
      <c r="H638" s="7"/>
      <c r="I638" s="148">
        <v>200</v>
      </c>
      <c r="J638" s="1"/>
      <c r="K638" s="1"/>
      <c r="L638" s="131"/>
      <c r="M638" s="131"/>
      <c r="N638" s="131">
        <v>8218000</v>
      </c>
      <c r="O638" s="175"/>
      <c r="P638" s="169"/>
    </row>
    <row r="639" spans="1:16" ht="15.75">
      <c r="A639" s="8"/>
      <c r="B639" s="24"/>
      <c r="C639" s="24"/>
      <c r="D639" s="24"/>
      <c r="E639" s="24"/>
      <c r="F639" s="25"/>
      <c r="G639" s="214" t="s">
        <v>1</v>
      </c>
      <c r="H639" s="121"/>
      <c r="I639" s="148">
        <v>800</v>
      </c>
      <c r="J639" s="1">
        <v>7963000</v>
      </c>
      <c r="K639" s="1"/>
      <c r="L639" s="131">
        <f>K639+J639</f>
        <v>7963000</v>
      </c>
      <c r="M639" s="131"/>
      <c r="N639" s="131"/>
      <c r="O639" s="175"/>
      <c r="P639" s="169"/>
    </row>
    <row r="640" spans="1:16" ht="38.25" customHeight="1">
      <c r="A640" s="8"/>
      <c r="B640" s="24"/>
      <c r="C640" s="24"/>
      <c r="D640" s="24"/>
      <c r="E640" s="24"/>
      <c r="F640" s="25"/>
      <c r="G640" s="212" t="s">
        <v>427</v>
      </c>
      <c r="H640" s="147" t="s">
        <v>426</v>
      </c>
      <c r="I640" s="148"/>
      <c r="J640" s="1">
        <f>J641+J643</f>
        <v>20513</v>
      </c>
      <c r="K640" s="1">
        <f>K641+K643</f>
        <v>0</v>
      </c>
      <c r="L640" s="131">
        <f>L641+L643</f>
        <v>20513</v>
      </c>
      <c r="M640" s="131">
        <f>M641+M643</f>
        <v>0</v>
      </c>
      <c r="N640" s="131">
        <f>N641+N643</f>
        <v>44519</v>
      </c>
      <c r="O640" s="175"/>
      <c r="P640" s="169"/>
    </row>
    <row r="641" spans="1:16" s="82" customFormat="1" ht="47.25">
      <c r="A641" s="81"/>
      <c r="B641" s="290" t="s">
        <v>17</v>
      </c>
      <c r="C641" s="290"/>
      <c r="D641" s="290"/>
      <c r="E641" s="290"/>
      <c r="F641" s="291"/>
      <c r="G641" s="223" t="s">
        <v>145</v>
      </c>
      <c r="H641" s="7" t="s">
        <v>428</v>
      </c>
      <c r="I641" s="148" t="s">
        <v>0</v>
      </c>
      <c r="J641" s="1">
        <f>J642</f>
        <v>11400</v>
      </c>
      <c r="K641" s="1">
        <f>K642</f>
        <v>0</v>
      </c>
      <c r="L641" s="131">
        <f>L642</f>
        <v>11400</v>
      </c>
      <c r="M641" s="131">
        <f>M642</f>
        <v>0</v>
      </c>
      <c r="N641" s="131">
        <f>N642</f>
        <v>20800</v>
      </c>
      <c r="O641" s="175"/>
      <c r="P641" s="169"/>
    </row>
    <row r="642" spans="1:16" s="82" customFormat="1" ht="15.75">
      <c r="A642" s="81"/>
      <c r="B642" s="296">
        <v>500</v>
      </c>
      <c r="C642" s="296"/>
      <c r="D642" s="296"/>
      <c r="E642" s="296"/>
      <c r="F642" s="297"/>
      <c r="G642" s="214" t="s">
        <v>5</v>
      </c>
      <c r="H642" s="7" t="s">
        <v>0</v>
      </c>
      <c r="I642" s="148">
        <v>300</v>
      </c>
      <c r="J642" s="1">
        <v>11400</v>
      </c>
      <c r="K642" s="1"/>
      <c r="L642" s="131">
        <f>K642+J642</f>
        <v>11400</v>
      </c>
      <c r="M642" s="131"/>
      <c r="N642" s="131">
        <v>20800</v>
      </c>
      <c r="O642" s="175"/>
      <c r="P642" s="169"/>
    </row>
    <row r="643" spans="1:16" s="70" customFormat="1" ht="60" customHeight="1">
      <c r="A643" s="67"/>
      <c r="B643" s="262" t="s">
        <v>16</v>
      </c>
      <c r="C643" s="262"/>
      <c r="D643" s="262"/>
      <c r="E643" s="262"/>
      <c r="F643" s="263"/>
      <c r="G643" s="223" t="s">
        <v>146</v>
      </c>
      <c r="H643" s="7" t="s">
        <v>429</v>
      </c>
      <c r="I643" s="148" t="s">
        <v>0</v>
      </c>
      <c r="J643" s="1">
        <f>J644</f>
        <v>9113</v>
      </c>
      <c r="K643" s="1">
        <f>K644</f>
        <v>0</v>
      </c>
      <c r="L643" s="131">
        <f>L644</f>
        <v>9113</v>
      </c>
      <c r="M643" s="131">
        <f>M644</f>
        <v>0</v>
      </c>
      <c r="N643" s="131">
        <f>N644</f>
        <v>23719</v>
      </c>
      <c r="O643" s="175"/>
      <c r="P643" s="169"/>
    </row>
    <row r="644" spans="1:16" s="70" customFormat="1" ht="15.75">
      <c r="A644" s="67"/>
      <c r="B644" s="266">
        <v>500</v>
      </c>
      <c r="C644" s="266"/>
      <c r="D644" s="266"/>
      <c r="E644" s="266"/>
      <c r="F644" s="267"/>
      <c r="G644" s="214" t="s">
        <v>5</v>
      </c>
      <c r="H644" s="7" t="s">
        <v>0</v>
      </c>
      <c r="I644" s="148">
        <v>300</v>
      </c>
      <c r="J644" s="1">
        <v>9113</v>
      </c>
      <c r="K644" s="1"/>
      <c r="L644" s="131">
        <f>K644+J644</f>
        <v>9113</v>
      </c>
      <c r="M644" s="131"/>
      <c r="N644" s="131">
        <v>23719</v>
      </c>
      <c r="O644" s="175"/>
      <c r="P644" s="169"/>
    </row>
    <row r="645" spans="1:16" ht="47.25">
      <c r="A645" s="8"/>
      <c r="B645" s="268" t="s">
        <v>15</v>
      </c>
      <c r="C645" s="268"/>
      <c r="D645" s="268"/>
      <c r="E645" s="268"/>
      <c r="F645" s="269"/>
      <c r="G645" s="218" t="s">
        <v>861</v>
      </c>
      <c r="H645" s="4" t="s">
        <v>430</v>
      </c>
      <c r="I645" s="189" t="s">
        <v>0</v>
      </c>
      <c r="J645" s="5">
        <f>J646</f>
        <v>46838</v>
      </c>
      <c r="K645" s="5">
        <f>K646</f>
        <v>0</v>
      </c>
      <c r="L645" s="131">
        <f>L646</f>
        <v>46838</v>
      </c>
      <c r="M645" s="131">
        <f>M646</f>
        <v>0</v>
      </c>
      <c r="N645" s="131">
        <f>N646</f>
        <v>856209</v>
      </c>
      <c r="O645" s="175"/>
      <c r="P645" s="169"/>
    </row>
    <row r="646" spans="1:16" ht="60" customHeight="1">
      <c r="A646" s="8"/>
      <c r="B646" s="276" t="s">
        <v>14</v>
      </c>
      <c r="C646" s="276"/>
      <c r="D646" s="276"/>
      <c r="E646" s="276"/>
      <c r="F646" s="277"/>
      <c r="G646" s="214" t="s">
        <v>862</v>
      </c>
      <c r="H646" s="7" t="s">
        <v>431</v>
      </c>
      <c r="I646" s="148" t="s">
        <v>0</v>
      </c>
      <c r="J646" s="1">
        <f>SUM(J664+J669)</f>
        <v>46838</v>
      </c>
      <c r="K646" s="1">
        <f>SUM(K664+K669)</f>
        <v>0</v>
      </c>
      <c r="L646" s="131">
        <f>SUM(L664+L669)</f>
        <v>46838</v>
      </c>
      <c r="M646" s="131">
        <f>SUM(M664+M669)</f>
        <v>0</v>
      </c>
      <c r="N646" s="131">
        <f>N664+N669+N683</f>
        <v>856209</v>
      </c>
      <c r="O646" s="175"/>
      <c r="P646" s="169"/>
    </row>
    <row r="647" spans="1:16" ht="21" customHeight="1" hidden="1">
      <c r="A647" s="8"/>
      <c r="B647" s="18"/>
      <c r="C647" s="18"/>
      <c r="D647" s="18"/>
      <c r="E647" s="18"/>
      <c r="F647" s="19"/>
      <c r="G647" s="212" t="s">
        <v>457</v>
      </c>
      <c r="H647" s="147" t="s">
        <v>432</v>
      </c>
      <c r="I647" s="148"/>
      <c r="J647" s="1">
        <f>J648</f>
        <v>0</v>
      </c>
      <c r="K647" s="1"/>
      <c r="L647" s="131"/>
      <c r="M647" s="131"/>
      <c r="N647" s="131"/>
      <c r="O647" s="175"/>
      <c r="P647" s="169"/>
    </row>
    <row r="648" spans="1:16" ht="39" customHeight="1" hidden="1">
      <c r="A648" s="8"/>
      <c r="B648" s="18"/>
      <c r="C648" s="18"/>
      <c r="D648" s="18"/>
      <c r="E648" s="18"/>
      <c r="F648" s="19"/>
      <c r="G648" s="214" t="s">
        <v>460</v>
      </c>
      <c r="H648" s="7" t="s">
        <v>433</v>
      </c>
      <c r="I648" s="148"/>
      <c r="J648" s="1">
        <f>J649</f>
        <v>0</v>
      </c>
      <c r="K648" s="1"/>
      <c r="L648" s="131"/>
      <c r="M648" s="131"/>
      <c r="N648" s="131"/>
      <c r="O648" s="175"/>
      <c r="P648" s="169"/>
    </row>
    <row r="649" spans="1:16" ht="18.75" customHeight="1" hidden="1">
      <c r="A649" s="8"/>
      <c r="B649" s="18"/>
      <c r="C649" s="18"/>
      <c r="D649" s="18"/>
      <c r="E649" s="18"/>
      <c r="F649" s="19"/>
      <c r="G649" s="214" t="s">
        <v>1</v>
      </c>
      <c r="H649" s="186"/>
      <c r="I649" s="148">
        <v>800</v>
      </c>
      <c r="J649" s="1"/>
      <c r="K649" s="1"/>
      <c r="L649" s="131"/>
      <c r="M649" s="131"/>
      <c r="N649" s="131"/>
      <c r="O649" s="175"/>
      <c r="P649" s="169"/>
    </row>
    <row r="650" spans="1:16" ht="50.25" customHeight="1" hidden="1">
      <c r="A650" s="8"/>
      <c r="B650" s="18"/>
      <c r="C650" s="18"/>
      <c r="D650" s="18"/>
      <c r="E650" s="18"/>
      <c r="F650" s="19"/>
      <c r="G650" s="218" t="s">
        <v>242</v>
      </c>
      <c r="H650" s="199" t="s">
        <v>234</v>
      </c>
      <c r="I650" s="189"/>
      <c r="J650" s="5">
        <f>J651</f>
        <v>2833891</v>
      </c>
      <c r="K650" s="5"/>
      <c r="L650" s="131"/>
      <c r="M650" s="131"/>
      <c r="N650" s="131"/>
      <c r="O650" s="175"/>
      <c r="P650" s="169"/>
    </row>
    <row r="651" spans="1:16" ht="60" customHeight="1" hidden="1">
      <c r="A651" s="8"/>
      <c r="B651" s="18"/>
      <c r="C651" s="18"/>
      <c r="D651" s="18"/>
      <c r="E651" s="18"/>
      <c r="F651" s="19"/>
      <c r="G651" s="214" t="s">
        <v>236</v>
      </c>
      <c r="H651" s="186" t="s">
        <v>235</v>
      </c>
      <c r="I651" s="148"/>
      <c r="J651" s="1">
        <f>J654+J656+J658</f>
        <v>2833891</v>
      </c>
      <c r="K651" s="1"/>
      <c r="L651" s="131"/>
      <c r="M651" s="131"/>
      <c r="N651" s="131"/>
      <c r="O651" s="175"/>
      <c r="P651" s="169"/>
    </row>
    <row r="652" spans="1:16" ht="60.75" customHeight="1" hidden="1">
      <c r="A652" s="8"/>
      <c r="B652" s="18"/>
      <c r="C652" s="18"/>
      <c r="D652" s="18"/>
      <c r="E652" s="18"/>
      <c r="F652" s="19"/>
      <c r="G652" s="214"/>
      <c r="H652" s="186"/>
      <c r="I652" s="148"/>
      <c r="J652" s="1"/>
      <c r="K652" s="1"/>
      <c r="L652" s="131"/>
      <c r="M652" s="131"/>
      <c r="N652" s="131"/>
      <c r="O652" s="175"/>
      <c r="P652" s="169"/>
    </row>
    <row r="653" spans="1:16" ht="15.75" hidden="1">
      <c r="A653" s="8"/>
      <c r="B653" s="18"/>
      <c r="C653" s="18"/>
      <c r="D653" s="18"/>
      <c r="E653" s="18"/>
      <c r="F653" s="19"/>
      <c r="G653" s="214"/>
      <c r="H653" s="186"/>
      <c r="I653" s="148"/>
      <c r="J653" s="1"/>
      <c r="K653" s="1"/>
      <c r="L653" s="131"/>
      <c r="M653" s="131"/>
      <c r="N653" s="131"/>
      <c r="O653" s="175"/>
      <c r="P653" s="169"/>
    </row>
    <row r="654" spans="1:16" ht="31.5" hidden="1">
      <c r="A654" s="8"/>
      <c r="B654" s="18"/>
      <c r="C654" s="18"/>
      <c r="D654" s="18"/>
      <c r="E654" s="18"/>
      <c r="F654" s="19"/>
      <c r="G654" s="214" t="s">
        <v>276</v>
      </c>
      <c r="H654" s="121" t="s">
        <v>284</v>
      </c>
      <c r="I654" s="148"/>
      <c r="J654" s="1">
        <v>242000</v>
      </c>
      <c r="K654" s="1"/>
      <c r="L654" s="131"/>
      <c r="M654" s="131"/>
      <c r="N654" s="131"/>
      <c r="O654" s="175"/>
      <c r="P654" s="169"/>
    </row>
    <row r="655" spans="1:16" ht="31.5" hidden="1">
      <c r="A655" s="8"/>
      <c r="B655" s="18"/>
      <c r="C655" s="18"/>
      <c r="D655" s="18"/>
      <c r="E655" s="18"/>
      <c r="F655" s="19"/>
      <c r="G655" s="214" t="s">
        <v>2</v>
      </c>
      <c r="H655" s="186"/>
      <c r="I655" s="148">
        <v>200</v>
      </c>
      <c r="J655" s="1">
        <v>242000</v>
      </c>
      <c r="K655" s="1"/>
      <c r="L655" s="131"/>
      <c r="M655" s="131"/>
      <c r="N655" s="131"/>
      <c r="O655" s="175"/>
      <c r="P655" s="169"/>
    </row>
    <row r="656" spans="1:16" ht="36.75" customHeight="1" hidden="1">
      <c r="A656" s="8"/>
      <c r="B656" s="18"/>
      <c r="C656" s="18"/>
      <c r="D656" s="18"/>
      <c r="E656" s="18"/>
      <c r="F656" s="19"/>
      <c r="G656" s="214" t="s">
        <v>297</v>
      </c>
      <c r="H656" s="121" t="s">
        <v>296</v>
      </c>
      <c r="I656" s="148"/>
      <c r="J656" s="1">
        <f>J657</f>
        <v>812891</v>
      </c>
      <c r="K656" s="1"/>
      <c r="L656" s="131"/>
      <c r="M656" s="131"/>
      <c r="N656" s="131"/>
      <c r="O656" s="175"/>
      <c r="P656" s="169"/>
    </row>
    <row r="657" spans="1:16" ht="36" customHeight="1" hidden="1">
      <c r="A657" s="8"/>
      <c r="B657" s="18"/>
      <c r="C657" s="18"/>
      <c r="D657" s="18"/>
      <c r="E657" s="18"/>
      <c r="F657" s="19"/>
      <c r="G657" s="214" t="s">
        <v>4</v>
      </c>
      <c r="H657" s="186"/>
      <c r="I657" s="148">
        <v>600</v>
      </c>
      <c r="J657" s="1">
        <v>812891</v>
      </c>
      <c r="K657" s="1"/>
      <c r="L657" s="131"/>
      <c r="M657" s="131"/>
      <c r="N657" s="131"/>
      <c r="O657" s="175"/>
      <c r="P657" s="169"/>
    </row>
    <row r="658" spans="1:16" ht="48.75" customHeight="1" hidden="1">
      <c r="A658" s="8"/>
      <c r="B658" s="18"/>
      <c r="C658" s="18"/>
      <c r="D658" s="18"/>
      <c r="E658" s="18"/>
      <c r="F658" s="19"/>
      <c r="G658" s="214" t="s">
        <v>243</v>
      </c>
      <c r="H658" s="121" t="s">
        <v>246</v>
      </c>
      <c r="I658" s="148"/>
      <c r="J658" s="1">
        <f>J659+J660</f>
        <v>1779000</v>
      </c>
      <c r="K658" s="1"/>
      <c r="L658" s="131"/>
      <c r="M658" s="131"/>
      <c r="N658" s="131"/>
      <c r="O658" s="175"/>
      <c r="P658" s="169"/>
    </row>
    <row r="659" spans="1:16" ht="34.5" customHeight="1" hidden="1">
      <c r="A659" s="8"/>
      <c r="B659" s="18"/>
      <c r="C659" s="18"/>
      <c r="D659" s="18"/>
      <c r="E659" s="18"/>
      <c r="F659" s="19"/>
      <c r="G659" s="214" t="s">
        <v>2</v>
      </c>
      <c r="H659" s="186"/>
      <c r="I659" s="148">
        <v>200</v>
      </c>
      <c r="J659" s="1">
        <v>32006</v>
      </c>
      <c r="K659" s="1"/>
      <c r="L659" s="131"/>
      <c r="M659" s="131"/>
      <c r="N659" s="131"/>
      <c r="O659" s="175"/>
      <c r="P659" s="169"/>
    </row>
    <row r="660" spans="1:16" ht="30.75" customHeight="1" hidden="1">
      <c r="A660" s="8"/>
      <c r="B660" s="18"/>
      <c r="C660" s="18"/>
      <c r="D660" s="18"/>
      <c r="E660" s="18"/>
      <c r="F660" s="19"/>
      <c r="G660" s="214" t="s">
        <v>4</v>
      </c>
      <c r="H660" s="186"/>
      <c r="I660" s="148">
        <v>600</v>
      </c>
      <c r="J660" s="1">
        <v>1746994</v>
      </c>
      <c r="K660" s="1"/>
      <c r="L660" s="131"/>
      <c r="M660" s="131"/>
      <c r="N660" s="131"/>
      <c r="O660" s="175"/>
      <c r="P660" s="169"/>
    </row>
    <row r="661" spans="1:16" ht="0" customHeight="1" hidden="1">
      <c r="A661" s="8"/>
      <c r="B661" s="270" t="s">
        <v>13</v>
      </c>
      <c r="C661" s="270"/>
      <c r="D661" s="270"/>
      <c r="E661" s="270"/>
      <c r="F661" s="271"/>
      <c r="G661" s="214" t="s">
        <v>12</v>
      </c>
      <c r="H661" s="7" t="s">
        <v>122</v>
      </c>
      <c r="I661" s="148" t="s">
        <v>0</v>
      </c>
      <c r="J661" s="1">
        <v>0</v>
      </c>
      <c r="K661" s="1"/>
      <c r="L661" s="131"/>
      <c r="M661" s="131"/>
      <c r="N661" s="131"/>
      <c r="O661" s="175"/>
      <c r="P661" s="169"/>
    </row>
    <row r="662" spans="1:16" ht="0" customHeight="1" hidden="1">
      <c r="A662" s="8"/>
      <c r="B662" s="24"/>
      <c r="C662" s="24"/>
      <c r="D662" s="24"/>
      <c r="E662" s="24"/>
      <c r="F662" s="25"/>
      <c r="G662" s="214"/>
      <c r="H662" s="7"/>
      <c r="I662" s="148"/>
      <c r="J662" s="1"/>
      <c r="K662" s="1"/>
      <c r="L662" s="131"/>
      <c r="M662" s="131"/>
      <c r="N662" s="131"/>
      <c r="O662" s="175"/>
      <c r="P662" s="169"/>
    </row>
    <row r="663" spans="1:16" ht="15.75" customHeight="1" hidden="1">
      <c r="A663" s="8"/>
      <c r="B663" s="24"/>
      <c r="C663" s="24"/>
      <c r="D663" s="24"/>
      <c r="E663" s="24"/>
      <c r="F663" s="25"/>
      <c r="G663" s="214"/>
      <c r="H663" s="7"/>
      <c r="I663" s="148"/>
      <c r="J663" s="1"/>
      <c r="K663" s="1"/>
      <c r="L663" s="131"/>
      <c r="M663" s="131"/>
      <c r="N663" s="131"/>
      <c r="O663" s="175"/>
      <c r="P663" s="169"/>
    </row>
    <row r="664" spans="1:16" ht="39" customHeight="1">
      <c r="A664" s="8"/>
      <c r="B664" s="24"/>
      <c r="C664" s="24"/>
      <c r="D664" s="24"/>
      <c r="E664" s="24"/>
      <c r="F664" s="25"/>
      <c r="G664" s="212" t="s">
        <v>759</v>
      </c>
      <c r="H664" s="147" t="s">
        <v>432</v>
      </c>
      <c r="I664" s="148"/>
      <c r="J664" s="1">
        <f>SUM(J667)</f>
        <v>5580</v>
      </c>
      <c r="K664" s="1">
        <f>SUM(K667)</f>
        <v>0</v>
      </c>
      <c r="L664" s="131">
        <f>SUM(L667)</f>
        <v>5580</v>
      </c>
      <c r="M664" s="131"/>
      <c r="N664" s="131">
        <f>N667</f>
        <v>700000</v>
      </c>
      <c r="O664" s="175"/>
      <c r="P664" s="169"/>
    </row>
    <row r="665" spans="1:16" ht="37.5" customHeight="1" hidden="1">
      <c r="A665" s="8"/>
      <c r="B665" s="24"/>
      <c r="C665" s="24"/>
      <c r="D665" s="24"/>
      <c r="E665" s="24"/>
      <c r="F665" s="25"/>
      <c r="G665" s="214" t="s">
        <v>459</v>
      </c>
      <c r="H665" s="7" t="s">
        <v>458</v>
      </c>
      <c r="I665" s="148"/>
      <c r="J665" s="1">
        <f>J666</f>
        <v>0</v>
      </c>
      <c r="K665" s="1"/>
      <c r="L665" s="131"/>
      <c r="M665" s="131"/>
      <c r="N665" s="131"/>
      <c r="O665" s="175"/>
      <c r="P665" s="169"/>
    </row>
    <row r="666" spans="1:16" ht="38.25" customHeight="1" hidden="1">
      <c r="A666" s="8"/>
      <c r="B666" s="24"/>
      <c r="C666" s="24"/>
      <c r="D666" s="24"/>
      <c r="E666" s="24"/>
      <c r="F666" s="25"/>
      <c r="G666" s="214" t="s">
        <v>2</v>
      </c>
      <c r="H666" s="7"/>
      <c r="I666" s="148">
        <v>200</v>
      </c>
      <c r="J666" s="1"/>
      <c r="K666" s="1"/>
      <c r="L666" s="131"/>
      <c r="M666" s="131"/>
      <c r="N666" s="131"/>
      <c r="O666" s="175"/>
      <c r="P666" s="169"/>
    </row>
    <row r="667" spans="1:16" ht="34.5" customHeight="1">
      <c r="A667" s="8"/>
      <c r="B667" s="24"/>
      <c r="C667" s="24"/>
      <c r="D667" s="24"/>
      <c r="E667" s="24"/>
      <c r="F667" s="25"/>
      <c r="G667" s="214" t="s">
        <v>865</v>
      </c>
      <c r="H667" s="7" t="s">
        <v>433</v>
      </c>
      <c r="I667" s="148"/>
      <c r="J667" s="1">
        <f>J668</f>
        <v>5580</v>
      </c>
      <c r="K667" s="1">
        <f>K668</f>
        <v>0</v>
      </c>
      <c r="L667" s="131">
        <f>L668</f>
        <v>5580</v>
      </c>
      <c r="M667" s="131">
        <f>M668</f>
        <v>0</v>
      </c>
      <c r="N667" s="131">
        <f>N668</f>
        <v>700000</v>
      </c>
      <c r="O667" s="175"/>
      <c r="P667" s="169"/>
    </row>
    <row r="668" spans="1:16" ht="38.25" customHeight="1">
      <c r="A668" s="8"/>
      <c r="B668" s="24"/>
      <c r="C668" s="24"/>
      <c r="D668" s="24"/>
      <c r="E668" s="24"/>
      <c r="F668" s="25"/>
      <c r="G668" s="214" t="s">
        <v>2</v>
      </c>
      <c r="H668" s="7"/>
      <c r="I668" s="148">
        <v>200</v>
      </c>
      <c r="J668" s="1">
        <v>5580</v>
      </c>
      <c r="K668" s="1"/>
      <c r="L668" s="131">
        <f>K668+J668</f>
        <v>5580</v>
      </c>
      <c r="M668" s="131"/>
      <c r="N668" s="131">
        <v>700000</v>
      </c>
      <c r="O668" s="175"/>
      <c r="P668" s="169"/>
    </row>
    <row r="669" spans="1:16" s="118" customFormat="1" ht="28.5" customHeight="1">
      <c r="A669" s="117"/>
      <c r="B669" s="16"/>
      <c r="C669" s="16"/>
      <c r="D669" s="16"/>
      <c r="E669" s="16"/>
      <c r="F669" s="17"/>
      <c r="G669" s="212" t="s">
        <v>753</v>
      </c>
      <c r="H669" s="147" t="s">
        <v>558</v>
      </c>
      <c r="I669" s="6"/>
      <c r="J669" s="1">
        <f>SUM(J672+J677)+J679+J670+J681</f>
        <v>41258</v>
      </c>
      <c r="K669" s="1">
        <f>SUM(K672+K677)+K679+K670</f>
        <v>0</v>
      </c>
      <c r="L669" s="131">
        <f>SUM(L672+L677)+L679+L670</f>
        <v>41258</v>
      </c>
      <c r="M669" s="131">
        <f>SUM(M672+M677)+M679+M670+M681</f>
        <v>0</v>
      </c>
      <c r="N669" s="131">
        <f>SUM(N672+N677)+N679+N670+N681</f>
        <v>63302</v>
      </c>
      <c r="O669" s="176"/>
      <c r="P669" s="169"/>
    </row>
    <row r="670" spans="1:16" s="118" customFormat="1" ht="42" customHeight="1" hidden="1">
      <c r="A670" s="117"/>
      <c r="B670" s="16"/>
      <c r="C670" s="16"/>
      <c r="D670" s="16"/>
      <c r="E670" s="16"/>
      <c r="F670" s="17"/>
      <c r="G670" s="214" t="s">
        <v>460</v>
      </c>
      <c r="H670" s="7" t="s">
        <v>627</v>
      </c>
      <c r="I670" s="6"/>
      <c r="J670" s="1">
        <f>J671</f>
        <v>0</v>
      </c>
      <c r="K670" s="1">
        <f>K671</f>
        <v>0</v>
      </c>
      <c r="L670" s="131">
        <f>L671</f>
        <v>0</v>
      </c>
      <c r="M670" s="131"/>
      <c r="N670" s="131"/>
      <c r="O670" s="176"/>
      <c r="P670" s="169"/>
    </row>
    <row r="671" spans="1:16" s="118" customFormat="1" ht="21.75" customHeight="1" hidden="1">
      <c r="A671" s="117"/>
      <c r="B671" s="16"/>
      <c r="C671" s="16"/>
      <c r="D671" s="16"/>
      <c r="E671" s="16"/>
      <c r="F671" s="17"/>
      <c r="G671" s="214" t="s">
        <v>1</v>
      </c>
      <c r="H671" s="147"/>
      <c r="I671" s="148">
        <v>800</v>
      </c>
      <c r="J671" s="1"/>
      <c r="K671" s="1">
        <v>0</v>
      </c>
      <c r="L671" s="131">
        <f>K671+J671</f>
        <v>0</v>
      </c>
      <c r="M671" s="131"/>
      <c r="N671" s="131"/>
      <c r="O671" s="176"/>
      <c r="P671" s="169"/>
    </row>
    <row r="672" spans="1:16" ht="65.25" customHeight="1" hidden="1">
      <c r="A672" s="8"/>
      <c r="B672" s="24"/>
      <c r="C672" s="24"/>
      <c r="D672" s="24"/>
      <c r="E672" s="24"/>
      <c r="F672" s="25"/>
      <c r="G672" s="214" t="s">
        <v>463</v>
      </c>
      <c r="H672" s="7" t="s">
        <v>559</v>
      </c>
      <c r="I672" s="148"/>
      <c r="J672" s="1">
        <f>J673</f>
        <v>0</v>
      </c>
      <c r="K672" s="1">
        <f>K673</f>
        <v>0</v>
      </c>
      <c r="L672" s="131">
        <f>L673</f>
        <v>0</v>
      </c>
      <c r="M672" s="131"/>
      <c r="N672" s="131"/>
      <c r="O672" s="175"/>
      <c r="P672" s="169"/>
    </row>
    <row r="673" spans="1:16" ht="39.75" customHeight="1" hidden="1">
      <c r="A673" s="8"/>
      <c r="B673" s="24"/>
      <c r="C673" s="24"/>
      <c r="D673" s="24"/>
      <c r="E673" s="24"/>
      <c r="F673" s="25"/>
      <c r="G673" s="214" t="s">
        <v>5</v>
      </c>
      <c r="H673" s="7"/>
      <c r="I673" s="148">
        <v>300</v>
      </c>
      <c r="J673" s="1">
        <v>0</v>
      </c>
      <c r="K673" s="1"/>
      <c r="L673" s="131">
        <f>K673+J673</f>
        <v>0</v>
      </c>
      <c r="M673" s="131"/>
      <c r="N673" s="131"/>
      <c r="O673" s="175"/>
      <c r="P673" s="169"/>
    </row>
    <row r="674" spans="1:16" s="82" customFormat="1" ht="62.25" customHeight="1" hidden="1">
      <c r="A674" s="81"/>
      <c r="B674" s="83"/>
      <c r="C674" s="83"/>
      <c r="D674" s="83"/>
      <c r="E674" s="83"/>
      <c r="F674" s="84"/>
      <c r="G674" s="218" t="s">
        <v>500</v>
      </c>
      <c r="H674" s="4" t="s">
        <v>499</v>
      </c>
      <c r="I674" s="148"/>
      <c r="J674" s="1">
        <f>J675</f>
        <v>41258</v>
      </c>
      <c r="K674" s="1"/>
      <c r="L674" s="131"/>
      <c r="M674" s="131"/>
      <c r="N674" s="131"/>
      <c r="O674" s="175"/>
      <c r="P674" s="169"/>
    </row>
    <row r="675" spans="1:16" s="82" customFormat="1" ht="76.5" customHeight="1" hidden="1">
      <c r="A675" s="81"/>
      <c r="B675" s="83"/>
      <c r="C675" s="83"/>
      <c r="D675" s="83"/>
      <c r="E675" s="83"/>
      <c r="F675" s="84"/>
      <c r="G675" s="214" t="s">
        <v>502</v>
      </c>
      <c r="H675" s="7" t="s">
        <v>501</v>
      </c>
      <c r="I675" s="148"/>
      <c r="J675" s="1">
        <f>J676</f>
        <v>41258</v>
      </c>
      <c r="K675" s="1"/>
      <c r="L675" s="131"/>
      <c r="M675" s="131"/>
      <c r="N675" s="131"/>
      <c r="O675" s="175"/>
      <c r="P675" s="169"/>
    </row>
    <row r="676" spans="1:16" s="82" customFormat="1" ht="26.25" customHeight="1" hidden="1">
      <c r="A676" s="81"/>
      <c r="B676" s="83"/>
      <c r="C676" s="83"/>
      <c r="D676" s="83"/>
      <c r="E676" s="83"/>
      <c r="F676" s="84"/>
      <c r="G676" s="212" t="s">
        <v>504</v>
      </c>
      <c r="H676" s="147" t="s">
        <v>503</v>
      </c>
      <c r="I676" s="148"/>
      <c r="J676" s="1">
        <f>J677</f>
        <v>41258</v>
      </c>
      <c r="K676" s="1"/>
      <c r="L676" s="131"/>
      <c r="M676" s="131"/>
      <c r="N676" s="131"/>
      <c r="O676" s="175"/>
      <c r="P676" s="169"/>
    </row>
    <row r="677" spans="1:16" s="82" customFormat="1" ht="24" customHeight="1">
      <c r="A677" s="81"/>
      <c r="B677" s="83"/>
      <c r="C677" s="83"/>
      <c r="D677" s="83"/>
      <c r="E677" s="83"/>
      <c r="F677" s="84"/>
      <c r="G677" s="214" t="s">
        <v>561</v>
      </c>
      <c r="H677" s="7" t="s">
        <v>560</v>
      </c>
      <c r="I677" s="148"/>
      <c r="J677" s="1">
        <f>J678</f>
        <v>41258</v>
      </c>
      <c r="K677" s="1">
        <f>K678</f>
        <v>0</v>
      </c>
      <c r="L677" s="131">
        <f>L678</f>
        <v>41258</v>
      </c>
      <c r="M677" s="131">
        <f>M678</f>
        <v>0</v>
      </c>
      <c r="N677" s="131">
        <f>N678</f>
        <v>63302</v>
      </c>
      <c r="O677" s="175"/>
      <c r="P677" s="169"/>
    </row>
    <row r="678" spans="1:16" s="82" customFormat="1" ht="33.75" customHeight="1">
      <c r="A678" s="81"/>
      <c r="B678" s="83"/>
      <c r="C678" s="83"/>
      <c r="D678" s="83"/>
      <c r="E678" s="83"/>
      <c r="F678" s="84"/>
      <c r="G678" s="214" t="s">
        <v>2</v>
      </c>
      <c r="H678" s="7"/>
      <c r="I678" s="148">
        <v>200</v>
      </c>
      <c r="J678" s="1">
        <v>41258</v>
      </c>
      <c r="K678" s="1"/>
      <c r="L678" s="131">
        <f>K678+J678</f>
        <v>41258</v>
      </c>
      <c r="M678" s="131"/>
      <c r="N678" s="131">
        <f>55636+7666</f>
        <v>63302</v>
      </c>
      <c r="O678" s="175"/>
      <c r="P678" s="169"/>
    </row>
    <row r="679" spans="1:16" s="82" customFormat="1" ht="50.25" customHeight="1" hidden="1">
      <c r="A679" s="81"/>
      <c r="B679" s="122"/>
      <c r="C679" s="122"/>
      <c r="D679" s="122"/>
      <c r="E679" s="122"/>
      <c r="F679" s="123"/>
      <c r="G679" s="214" t="s">
        <v>592</v>
      </c>
      <c r="H679" s="7" t="s">
        <v>593</v>
      </c>
      <c r="I679" s="148"/>
      <c r="J679" s="1">
        <f>J680</f>
        <v>0</v>
      </c>
      <c r="K679" s="1">
        <f>K680</f>
        <v>0</v>
      </c>
      <c r="L679" s="131">
        <f>L680</f>
        <v>0</v>
      </c>
      <c r="M679" s="131"/>
      <c r="N679" s="131"/>
      <c r="O679" s="175"/>
      <c r="P679" s="169"/>
    </row>
    <row r="680" spans="1:16" s="82" customFormat="1" ht="36.75" customHeight="1" hidden="1">
      <c r="A680" s="81"/>
      <c r="B680" s="122"/>
      <c r="C680" s="122"/>
      <c r="D680" s="122"/>
      <c r="E680" s="122"/>
      <c r="F680" s="123"/>
      <c r="G680" s="214" t="s">
        <v>18</v>
      </c>
      <c r="H680" s="7"/>
      <c r="I680" s="148">
        <v>400</v>
      </c>
      <c r="J680" s="1">
        <v>0</v>
      </c>
      <c r="K680" s="1"/>
      <c r="L680" s="131">
        <f>K680+J680</f>
        <v>0</v>
      </c>
      <c r="M680" s="131"/>
      <c r="N680" s="131"/>
      <c r="O680" s="175"/>
      <c r="P680" s="169"/>
    </row>
    <row r="681" spans="1:16" s="82" customFormat="1" ht="36.75" customHeight="1" hidden="1">
      <c r="A681" s="81"/>
      <c r="B681" s="143"/>
      <c r="C681" s="143"/>
      <c r="D681" s="143"/>
      <c r="E681" s="143"/>
      <c r="F681" s="144"/>
      <c r="G681" s="228" t="s">
        <v>651</v>
      </c>
      <c r="H681" s="7" t="s">
        <v>650</v>
      </c>
      <c r="I681" s="148"/>
      <c r="J681" s="1">
        <f>J682</f>
        <v>0</v>
      </c>
      <c r="K681" s="1"/>
      <c r="L681" s="131"/>
      <c r="M681" s="131"/>
      <c r="N681" s="131"/>
      <c r="O681" s="175"/>
      <c r="P681" s="169"/>
    </row>
    <row r="682" spans="1:16" s="82" customFormat="1" ht="36.75" customHeight="1" hidden="1">
      <c r="A682" s="81"/>
      <c r="B682" s="143"/>
      <c r="C682" s="143"/>
      <c r="D682" s="143"/>
      <c r="E682" s="143"/>
      <c r="F682" s="144"/>
      <c r="G682" s="214" t="s">
        <v>2</v>
      </c>
      <c r="H682" s="7"/>
      <c r="I682" s="148">
        <v>200</v>
      </c>
      <c r="J682" s="1">
        <v>0</v>
      </c>
      <c r="K682" s="1"/>
      <c r="L682" s="131"/>
      <c r="M682" s="131"/>
      <c r="N682" s="131"/>
      <c r="O682" s="175"/>
      <c r="P682" s="169"/>
    </row>
    <row r="683" spans="1:16" s="82" customFormat="1" ht="36.75" customHeight="1">
      <c r="A683" s="81"/>
      <c r="B683" s="216"/>
      <c r="C683" s="216"/>
      <c r="D683" s="216"/>
      <c r="E683" s="216"/>
      <c r="F683" s="217"/>
      <c r="G683" s="212" t="s">
        <v>871</v>
      </c>
      <c r="H683" s="147" t="s">
        <v>868</v>
      </c>
      <c r="I683" s="148"/>
      <c r="J683" s="1"/>
      <c r="K683" s="1"/>
      <c r="L683" s="131"/>
      <c r="M683" s="131"/>
      <c r="N683" s="131">
        <f>N684</f>
        <v>92907</v>
      </c>
      <c r="O683" s="175"/>
      <c r="P683" s="169"/>
    </row>
    <row r="684" spans="1:16" s="82" customFormat="1" ht="36.75" customHeight="1">
      <c r="A684" s="81"/>
      <c r="B684" s="216"/>
      <c r="C684" s="216"/>
      <c r="D684" s="216"/>
      <c r="E684" s="216"/>
      <c r="F684" s="217"/>
      <c r="G684" s="238" t="s">
        <v>870</v>
      </c>
      <c r="H684" s="7" t="s">
        <v>869</v>
      </c>
      <c r="I684" s="148"/>
      <c r="J684" s="1"/>
      <c r="K684" s="1"/>
      <c r="L684" s="131"/>
      <c r="M684" s="131"/>
      <c r="N684" s="131">
        <f>N685</f>
        <v>92907</v>
      </c>
      <c r="O684" s="175"/>
      <c r="P684" s="169"/>
    </row>
    <row r="685" spans="1:16" s="82" customFormat="1" ht="36.75" customHeight="1">
      <c r="A685" s="81"/>
      <c r="B685" s="216"/>
      <c r="C685" s="216"/>
      <c r="D685" s="216"/>
      <c r="E685" s="216"/>
      <c r="F685" s="217"/>
      <c r="G685" s="214" t="s">
        <v>2</v>
      </c>
      <c r="H685" s="7"/>
      <c r="I685" s="148">
        <v>200</v>
      </c>
      <c r="J685" s="1"/>
      <c r="K685" s="1"/>
      <c r="L685" s="131"/>
      <c r="M685" s="131"/>
      <c r="N685" s="131">
        <f>1858147-1288625-476615</f>
        <v>92907</v>
      </c>
      <c r="O685" s="175"/>
      <c r="P685" s="169"/>
    </row>
    <row r="686" spans="1:16" ht="51.75" customHeight="1">
      <c r="A686" s="8"/>
      <c r="B686" s="24"/>
      <c r="C686" s="24"/>
      <c r="D686" s="24"/>
      <c r="E686" s="24"/>
      <c r="F686" s="25"/>
      <c r="G686" s="218" t="s">
        <v>854</v>
      </c>
      <c r="H686" s="4" t="s">
        <v>514</v>
      </c>
      <c r="I686" s="189"/>
      <c r="J686" s="5">
        <f aca="true" t="shared" si="19" ref="J686:N687">J687</f>
        <v>200000</v>
      </c>
      <c r="K686" s="5">
        <f t="shared" si="19"/>
        <v>0</v>
      </c>
      <c r="L686" s="131">
        <f t="shared" si="19"/>
        <v>200000</v>
      </c>
      <c r="M686" s="131">
        <f t="shared" si="19"/>
        <v>0</v>
      </c>
      <c r="N686" s="131">
        <f t="shared" si="19"/>
        <v>200000</v>
      </c>
      <c r="O686" s="175"/>
      <c r="P686" s="169"/>
    </row>
    <row r="687" spans="1:16" ht="63">
      <c r="A687" s="8"/>
      <c r="B687" s="24"/>
      <c r="C687" s="24"/>
      <c r="D687" s="24"/>
      <c r="E687" s="24"/>
      <c r="F687" s="25"/>
      <c r="G687" s="214" t="s">
        <v>855</v>
      </c>
      <c r="H687" s="7" t="s">
        <v>515</v>
      </c>
      <c r="I687" s="148"/>
      <c r="J687" s="1">
        <f t="shared" si="19"/>
        <v>200000</v>
      </c>
      <c r="K687" s="1">
        <f t="shared" si="19"/>
        <v>0</v>
      </c>
      <c r="L687" s="131">
        <f t="shared" si="19"/>
        <v>200000</v>
      </c>
      <c r="M687" s="131">
        <f t="shared" si="19"/>
        <v>0</v>
      </c>
      <c r="N687" s="131">
        <f t="shared" si="19"/>
        <v>200000</v>
      </c>
      <c r="O687" s="175"/>
      <c r="P687" s="169"/>
    </row>
    <row r="688" spans="1:16" ht="51" customHeight="1">
      <c r="A688" s="8"/>
      <c r="B688" s="24"/>
      <c r="C688" s="24"/>
      <c r="D688" s="24"/>
      <c r="E688" s="24"/>
      <c r="F688" s="25"/>
      <c r="G688" s="212" t="s">
        <v>519</v>
      </c>
      <c r="H688" s="147" t="s">
        <v>516</v>
      </c>
      <c r="I688" s="6"/>
      <c r="J688" s="149">
        <f>J690</f>
        <v>200000</v>
      </c>
      <c r="K688" s="1">
        <f>K690</f>
        <v>0</v>
      </c>
      <c r="L688" s="131">
        <f>L690</f>
        <v>200000</v>
      </c>
      <c r="M688" s="131">
        <f>M690</f>
        <v>0</v>
      </c>
      <c r="N688" s="131">
        <f>N690</f>
        <v>200000</v>
      </c>
      <c r="O688" s="175"/>
      <c r="P688" s="169"/>
    </row>
    <row r="689" spans="1:16" ht="62.25" customHeight="1" hidden="1">
      <c r="A689" s="8"/>
      <c r="B689" s="24"/>
      <c r="C689" s="24"/>
      <c r="D689" s="24"/>
      <c r="E689" s="24"/>
      <c r="F689" s="25"/>
      <c r="G689" s="212"/>
      <c r="H689" s="7"/>
      <c r="I689" s="6"/>
      <c r="J689" s="149"/>
      <c r="K689" s="1"/>
      <c r="L689" s="131"/>
      <c r="M689" s="131"/>
      <c r="N689" s="131"/>
      <c r="O689" s="175"/>
      <c r="P689" s="169"/>
    </row>
    <row r="690" spans="1:16" ht="36" customHeight="1">
      <c r="A690" s="8"/>
      <c r="B690" s="24"/>
      <c r="C690" s="24"/>
      <c r="D690" s="24"/>
      <c r="E690" s="24"/>
      <c r="F690" s="25"/>
      <c r="G690" s="214" t="s">
        <v>297</v>
      </c>
      <c r="H690" s="7" t="s">
        <v>591</v>
      </c>
      <c r="I690" s="148"/>
      <c r="J690" s="1">
        <f>J691</f>
        <v>200000</v>
      </c>
      <c r="K690" s="1">
        <f>K691</f>
        <v>0</v>
      </c>
      <c r="L690" s="131">
        <f>L691</f>
        <v>200000</v>
      </c>
      <c r="M690" s="131">
        <f>M691</f>
        <v>0</v>
      </c>
      <c r="N690" s="131">
        <f>N691</f>
        <v>200000</v>
      </c>
      <c r="O690" s="175"/>
      <c r="P690" s="169"/>
    </row>
    <row r="691" spans="1:16" ht="33.75" customHeight="1">
      <c r="A691" s="8"/>
      <c r="B691" s="24"/>
      <c r="C691" s="24"/>
      <c r="D691" s="24"/>
      <c r="E691" s="24"/>
      <c r="F691" s="25"/>
      <c r="G691" s="214" t="s">
        <v>2</v>
      </c>
      <c r="H691" s="7"/>
      <c r="I691" s="148">
        <v>200</v>
      </c>
      <c r="J691" s="1">
        <v>200000</v>
      </c>
      <c r="K691" s="1"/>
      <c r="L691" s="131">
        <f>K691+J691</f>
        <v>200000</v>
      </c>
      <c r="M691" s="131"/>
      <c r="N691" s="131">
        <v>200000</v>
      </c>
      <c r="O691" s="175"/>
      <c r="P691" s="169"/>
    </row>
    <row r="692" spans="1:16" ht="63">
      <c r="A692" s="8"/>
      <c r="B692" s="268" t="s">
        <v>11</v>
      </c>
      <c r="C692" s="268"/>
      <c r="D692" s="268"/>
      <c r="E692" s="268"/>
      <c r="F692" s="269"/>
      <c r="G692" s="218" t="s">
        <v>856</v>
      </c>
      <c r="H692" s="4" t="s">
        <v>434</v>
      </c>
      <c r="I692" s="189" t="s">
        <v>0</v>
      </c>
      <c r="J692" s="5">
        <f>J693</f>
        <v>6526000</v>
      </c>
      <c r="K692" s="5">
        <f>K693</f>
        <v>0</v>
      </c>
      <c r="L692" s="131">
        <f>L693</f>
        <v>6526000</v>
      </c>
      <c r="M692" s="131">
        <f>M693</f>
        <v>0</v>
      </c>
      <c r="N692" s="131">
        <f>N693+N703</f>
        <v>6560612</v>
      </c>
      <c r="O692" s="175"/>
      <c r="P692" s="169"/>
    </row>
    <row r="693" spans="1:16" ht="48" customHeight="1">
      <c r="A693" s="8"/>
      <c r="B693" s="276" t="s">
        <v>10</v>
      </c>
      <c r="C693" s="276"/>
      <c r="D693" s="276"/>
      <c r="E693" s="276"/>
      <c r="F693" s="277"/>
      <c r="G693" s="214" t="s">
        <v>857</v>
      </c>
      <c r="H693" s="7" t="s">
        <v>435</v>
      </c>
      <c r="I693" s="148" t="s">
        <v>0</v>
      </c>
      <c r="J693" s="1">
        <f>J694+J704</f>
        <v>6526000</v>
      </c>
      <c r="K693" s="1">
        <f>K694+K704</f>
        <v>0</v>
      </c>
      <c r="L693" s="131">
        <f>L694+L704</f>
        <v>6526000</v>
      </c>
      <c r="M693" s="131">
        <f>M694+M704</f>
        <v>0</v>
      </c>
      <c r="N693" s="131">
        <f>N694</f>
        <v>5528000</v>
      </c>
      <c r="O693" s="175"/>
      <c r="P693" s="169"/>
    </row>
    <row r="694" spans="1:16" ht="37.5" customHeight="1">
      <c r="A694" s="8"/>
      <c r="B694" s="18"/>
      <c r="C694" s="18"/>
      <c r="D694" s="18"/>
      <c r="E694" s="18"/>
      <c r="F694" s="19"/>
      <c r="G694" s="212" t="s">
        <v>754</v>
      </c>
      <c r="H694" s="147" t="s">
        <v>436</v>
      </c>
      <c r="I694" s="148"/>
      <c r="J694" s="1">
        <f aca="true" t="shared" si="20" ref="J694:N695">J695</f>
        <v>5676000</v>
      </c>
      <c r="K694" s="1">
        <f t="shared" si="20"/>
        <v>0</v>
      </c>
      <c r="L694" s="131">
        <f t="shared" si="20"/>
        <v>5676000</v>
      </c>
      <c r="M694" s="131">
        <f t="shared" si="20"/>
        <v>0</v>
      </c>
      <c r="N694" s="131">
        <f t="shared" si="20"/>
        <v>5528000</v>
      </c>
      <c r="O694" s="175"/>
      <c r="P694" s="169"/>
    </row>
    <row r="695" spans="1:16" ht="50.25" customHeight="1">
      <c r="A695" s="8"/>
      <c r="B695" s="18"/>
      <c r="C695" s="18"/>
      <c r="D695" s="18"/>
      <c r="E695" s="18"/>
      <c r="F695" s="19"/>
      <c r="G695" s="214" t="s">
        <v>666</v>
      </c>
      <c r="H695" s="7" t="s">
        <v>437</v>
      </c>
      <c r="I695" s="148"/>
      <c r="J695" s="1">
        <f t="shared" si="20"/>
        <v>5676000</v>
      </c>
      <c r="K695" s="1">
        <f t="shared" si="20"/>
        <v>0</v>
      </c>
      <c r="L695" s="131">
        <f t="shared" si="20"/>
        <v>5676000</v>
      </c>
      <c r="M695" s="131">
        <f t="shared" si="20"/>
        <v>0</v>
      </c>
      <c r="N695" s="131">
        <f t="shared" si="20"/>
        <v>5528000</v>
      </c>
      <c r="O695" s="175"/>
      <c r="P695" s="169"/>
    </row>
    <row r="696" spans="1:16" ht="18" customHeight="1">
      <c r="A696" s="8"/>
      <c r="B696" s="18"/>
      <c r="C696" s="18"/>
      <c r="D696" s="18"/>
      <c r="E696" s="18"/>
      <c r="F696" s="19"/>
      <c r="G696" s="214" t="s">
        <v>6</v>
      </c>
      <c r="H696" s="7"/>
      <c r="I696" s="148">
        <v>500</v>
      </c>
      <c r="J696" s="1">
        <v>5676000</v>
      </c>
      <c r="K696" s="1"/>
      <c r="L696" s="131">
        <f>K696+J696</f>
        <v>5676000</v>
      </c>
      <c r="M696" s="131"/>
      <c r="N696" s="131">
        <v>5528000</v>
      </c>
      <c r="O696" s="175"/>
      <c r="P696" s="169"/>
    </row>
    <row r="697" spans="1:16" ht="78" customHeight="1" hidden="1">
      <c r="A697" s="8"/>
      <c r="B697" s="18"/>
      <c r="C697" s="18"/>
      <c r="D697" s="18"/>
      <c r="E697" s="18"/>
      <c r="F697" s="19"/>
      <c r="G697" s="214" t="s">
        <v>271</v>
      </c>
      <c r="H697" s="7" t="s">
        <v>267</v>
      </c>
      <c r="I697" s="148"/>
      <c r="J697" s="1">
        <v>10000</v>
      </c>
      <c r="K697" s="1"/>
      <c r="L697" s="131"/>
      <c r="M697" s="131"/>
      <c r="N697" s="131"/>
      <c r="O697" s="175"/>
      <c r="P697" s="169"/>
    </row>
    <row r="698" spans="1:16" ht="30.75" customHeight="1" hidden="1">
      <c r="A698" s="8"/>
      <c r="B698" s="18"/>
      <c r="C698" s="18"/>
      <c r="D698" s="18"/>
      <c r="E698" s="18"/>
      <c r="F698" s="19"/>
      <c r="G698" s="214" t="s">
        <v>106</v>
      </c>
      <c r="H698" s="7" t="s">
        <v>268</v>
      </c>
      <c r="I698" s="148"/>
      <c r="J698" s="1">
        <f>J699</f>
        <v>10000</v>
      </c>
      <c r="K698" s="1"/>
      <c r="L698" s="131"/>
      <c r="M698" s="131"/>
      <c r="N698" s="131"/>
      <c r="O698" s="175"/>
      <c r="P698" s="169"/>
    </row>
    <row r="699" spans="1:16" ht="21.75" customHeight="1" hidden="1">
      <c r="A699" s="8"/>
      <c r="B699" s="18"/>
      <c r="C699" s="18"/>
      <c r="D699" s="18"/>
      <c r="E699" s="18"/>
      <c r="F699" s="19"/>
      <c r="G699" s="214" t="s">
        <v>105</v>
      </c>
      <c r="H699" s="7"/>
      <c r="I699" s="148">
        <v>700</v>
      </c>
      <c r="J699" s="1">
        <v>10000</v>
      </c>
      <c r="K699" s="1"/>
      <c r="L699" s="131"/>
      <c r="M699" s="131"/>
      <c r="N699" s="131"/>
      <c r="O699" s="176"/>
      <c r="P699" s="169"/>
    </row>
    <row r="700" spans="1:16" ht="50.25" customHeight="1" hidden="1">
      <c r="A700" s="8"/>
      <c r="B700" s="18"/>
      <c r="C700" s="18"/>
      <c r="D700" s="18"/>
      <c r="E700" s="18"/>
      <c r="F700" s="19"/>
      <c r="G700" s="214" t="s">
        <v>272</v>
      </c>
      <c r="H700" s="7" t="s">
        <v>270</v>
      </c>
      <c r="I700" s="148"/>
      <c r="J700" s="1">
        <v>110000</v>
      </c>
      <c r="K700" s="1"/>
      <c r="L700" s="131"/>
      <c r="M700" s="131"/>
      <c r="N700" s="131"/>
      <c r="O700" s="176"/>
      <c r="P700" s="169"/>
    </row>
    <row r="701" spans="1:16" ht="65.25" customHeight="1" hidden="1">
      <c r="A701" s="8"/>
      <c r="B701" s="270" t="s">
        <v>9</v>
      </c>
      <c r="C701" s="270"/>
      <c r="D701" s="270"/>
      <c r="E701" s="270"/>
      <c r="F701" s="271"/>
      <c r="G701" s="214" t="s">
        <v>112</v>
      </c>
      <c r="H701" s="7" t="s">
        <v>269</v>
      </c>
      <c r="I701" s="148" t="s">
        <v>0</v>
      </c>
      <c r="J701" s="1">
        <f>J702</f>
        <v>110000</v>
      </c>
      <c r="K701" s="1"/>
      <c r="L701" s="131"/>
      <c r="M701" s="131"/>
      <c r="N701" s="131"/>
      <c r="O701" s="175"/>
      <c r="P701" s="169"/>
    </row>
    <row r="702" spans="1:16" ht="31.5" hidden="1">
      <c r="A702" s="8"/>
      <c r="B702" s="260">
        <v>500</v>
      </c>
      <c r="C702" s="260"/>
      <c r="D702" s="260"/>
      <c r="E702" s="260"/>
      <c r="F702" s="261"/>
      <c r="G702" s="214" t="s">
        <v>2</v>
      </c>
      <c r="H702" s="7" t="s">
        <v>0</v>
      </c>
      <c r="I702" s="148">
        <v>200</v>
      </c>
      <c r="J702" s="1">
        <v>110000</v>
      </c>
      <c r="K702" s="1"/>
      <c r="L702" s="131"/>
      <c r="M702" s="131"/>
      <c r="N702" s="131"/>
      <c r="O702" s="175"/>
      <c r="P702" s="169"/>
    </row>
    <row r="703" spans="1:16" ht="47.25">
      <c r="A703" s="8"/>
      <c r="B703" s="24"/>
      <c r="C703" s="24"/>
      <c r="D703" s="24"/>
      <c r="E703" s="24"/>
      <c r="F703" s="25"/>
      <c r="G703" s="214" t="s">
        <v>858</v>
      </c>
      <c r="H703" s="7" t="s">
        <v>755</v>
      </c>
      <c r="I703" s="148"/>
      <c r="J703" s="1"/>
      <c r="K703" s="1"/>
      <c r="L703" s="131"/>
      <c r="M703" s="131"/>
      <c r="N703" s="131">
        <f>N704</f>
        <v>1032612</v>
      </c>
      <c r="O703" s="175"/>
      <c r="P703" s="169"/>
    </row>
    <row r="704" spans="1:16" ht="36" customHeight="1">
      <c r="A704" s="8"/>
      <c r="B704" s="24"/>
      <c r="C704" s="24"/>
      <c r="D704" s="24"/>
      <c r="E704" s="24"/>
      <c r="F704" s="25"/>
      <c r="G704" s="212" t="s">
        <v>757</v>
      </c>
      <c r="H704" s="147" t="s">
        <v>756</v>
      </c>
      <c r="I704" s="148"/>
      <c r="J704" s="1">
        <f aca="true" t="shared" si="21" ref="J704:N705">J705</f>
        <v>850000</v>
      </c>
      <c r="K704" s="1">
        <f t="shared" si="21"/>
        <v>0</v>
      </c>
      <c r="L704" s="131">
        <f t="shared" si="21"/>
        <v>850000</v>
      </c>
      <c r="M704" s="131">
        <f t="shared" si="21"/>
        <v>0</v>
      </c>
      <c r="N704" s="131">
        <f t="shared" si="21"/>
        <v>1032612</v>
      </c>
      <c r="O704" s="175"/>
      <c r="P704" s="169"/>
    </row>
    <row r="705" spans="1:16" ht="64.5" customHeight="1">
      <c r="A705" s="8"/>
      <c r="B705" s="24"/>
      <c r="C705" s="24"/>
      <c r="D705" s="24"/>
      <c r="E705" s="24"/>
      <c r="F705" s="25"/>
      <c r="G705" s="214" t="s">
        <v>479</v>
      </c>
      <c r="H705" s="7" t="s">
        <v>758</v>
      </c>
      <c r="I705" s="148"/>
      <c r="J705" s="1">
        <f t="shared" si="21"/>
        <v>850000</v>
      </c>
      <c r="K705" s="1">
        <f t="shared" si="21"/>
        <v>0</v>
      </c>
      <c r="L705" s="131">
        <f t="shared" si="21"/>
        <v>850000</v>
      </c>
      <c r="M705" s="131">
        <f t="shared" si="21"/>
        <v>0</v>
      </c>
      <c r="N705" s="131">
        <f t="shared" si="21"/>
        <v>1032612</v>
      </c>
      <c r="O705" s="175"/>
      <c r="P705" s="169"/>
    </row>
    <row r="706" spans="1:16" ht="31.5">
      <c r="A706" s="8"/>
      <c r="B706" s="24"/>
      <c r="C706" s="24"/>
      <c r="D706" s="24"/>
      <c r="E706" s="24"/>
      <c r="F706" s="25"/>
      <c r="G706" s="214" t="s">
        <v>2</v>
      </c>
      <c r="H706" s="7"/>
      <c r="I706" s="148">
        <v>200</v>
      </c>
      <c r="J706" s="1">
        <v>850000</v>
      </c>
      <c r="K706" s="1">
        <v>0</v>
      </c>
      <c r="L706" s="131">
        <f>K706+J706</f>
        <v>850000</v>
      </c>
      <c r="M706" s="131"/>
      <c r="N706" s="131">
        <v>1032612</v>
      </c>
      <c r="O706" s="175"/>
      <c r="P706" s="169"/>
    </row>
    <row r="707" spans="1:16" ht="15.75">
      <c r="A707" s="8"/>
      <c r="B707" s="268" t="s">
        <v>8</v>
      </c>
      <c r="C707" s="268"/>
      <c r="D707" s="268"/>
      <c r="E707" s="268"/>
      <c r="F707" s="269"/>
      <c r="G707" s="218" t="s">
        <v>7</v>
      </c>
      <c r="H707" s="4" t="s">
        <v>438</v>
      </c>
      <c r="I707" s="189" t="s">
        <v>0</v>
      </c>
      <c r="J707" s="5">
        <f>J712+J722+J724+J726+J729+J734+J736+J740+J745+J750+J754+J764+J769+J772+J775+J717+J720+J715</f>
        <v>41180269</v>
      </c>
      <c r="K707" s="5">
        <f>K712+K722+K724+K726+K729+K734+K736+K740+K745+K750+K754+K764+K769+K772+K775+K717+K720</f>
        <v>0</v>
      </c>
      <c r="L707" s="131">
        <f>L712+L722+L724+L726+L729+L734+L736+L740+L745+L750+L754+L764+L769+L772+L775+L717+L720</f>
        <v>40766529</v>
      </c>
      <c r="M707" s="131">
        <f>M712+M722+M724+M726+M729+M734+M736+M740+M745+M750+M754+M764+M769+M772+M775+M717+M720+M715</f>
        <v>0</v>
      </c>
      <c r="N707" s="133">
        <f>N712+N722+N724+N726+N729+N734+N736+N740+N745+N750+N754+N764+N769+N772+N775+N717+N720+N715+N760+N767+N762</f>
        <v>43065810</v>
      </c>
      <c r="O707" s="175"/>
      <c r="P707" s="167"/>
    </row>
    <row r="708" spans="1:16" ht="37.5" customHeight="1" hidden="1">
      <c r="A708" s="8"/>
      <c r="B708" s="26"/>
      <c r="C708" s="26"/>
      <c r="D708" s="26"/>
      <c r="E708" s="26"/>
      <c r="F708" s="27"/>
      <c r="G708" s="214" t="s">
        <v>470</v>
      </c>
      <c r="H708" s="7" t="s">
        <v>469</v>
      </c>
      <c r="I708" s="189"/>
      <c r="J708" s="1">
        <f>J709</f>
        <v>0</v>
      </c>
      <c r="K708" s="5"/>
      <c r="L708" s="131"/>
      <c r="M708" s="131"/>
      <c r="N708" s="131"/>
      <c r="O708" s="175"/>
      <c r="P708" s="169"/>
    </row>
    <row r="709" spans="1:16" ht="15.75" hidden="1">
      <c r="A709" s="8"/>
      <c r="B709" s="26"/>
      <c r="C709" s="26"/>
      <c r="D709" s="26"/>
      <c r="E709" s="26"/>
      <c r="F709" s="27"/>
      <c r="G709" s="218"/>
      <c r="H709" s="4"/>
      <c r="I709" s="148">
        <v>500</v>
      </c>
      <c r="J709" s="1"/>
      <c r="K709" s="1"/>
      <c r="L709" s="131"/>
      <c r="M709" s="131"/>
      <c r="N709" s="131"/>
      <c r="O709" s="175"/>
      <c r="P709" s="169"/>
    </row>
    <row r="710" spans="1:16" ht="54.75" customHeight="1" hidden="1">
      <c r="A710" s="8"/>
      <c r="B710" s="26"/>
      <c r="C710" s="26"/>
      <c r="D710" s="26"/>
      <c r="E710" s="26"/>
      <c r="F710" s="27"/>
      <c r="G710" s="214" t="s">
        <v>468</v>
      </c>
      <c r="H710" s="7" t="s">
        <v>467</v>
      </c>
      <c r="I710" s="189"/>
      <c r="J710" s="1">
        <f>J711</f>
        <v>0</v>
      </c>
      <c r="K710" s="5"/>
      <c r="L710" s="131"/>
      <c r="M710" s="131"/>
      <c r="N710" s="131"/>
      <c r="O710" s="175"/>
      <c r="P710" s="169"/>
    </row>
    <row r="711" spans="1:16" ht="32.25" customHeight="1" hidden="1">
      <c r="A711" s="8"/>
      <c r="B711" s="26"/>
      <c r="C711" s="26"/>
      <c r="D711" s="26"/>
      <c r="E711" s="26"/>
      <c r="F711" s="27"/>
      <c r="G711" s="214" t="s">
        <v>2</v>
      </c>
      <c r="H711" s="4"/>
      <c r="I711" s="148">
        <v>200</v>
      </c>
      <c r="J711" s="1"/>
      <c r="K711" s="1"/>
      <c r="L711" s="131"/>
      <c r="M711" s="131"/>
      <c r="N711" s="131"/>
      <c r="O711" s="175"/>
      <c r="P711" s="169"/>
    </row>
    <row r="712" spans="1:16" ht="66" customHeight="1" hidden="1">
      <c r="A712" s="8"/>
      <c r="B712" s="26"/>
      <c r="C712" s="26"/>
      <c r="D712" s="26"/>
      <c r="E712" s="26"/>
      <c r="F712" s="27"/>
      <c r="G712" s="214" t="s">
        <v>110</v>
      </c>
      <c r="H712" s="7" t="s">
        <v>439</v>
      </c>
      <c r="I712" s="148"/>
      <c r="J712" s="1">
        <f>J713+J714</f>
        <v>0</v>
      </c>
      <c r="K712" s="1"/>
      <c r="L712" s="131"/>
      <c r="M712" s="131"/>
      <c r="N712" s="131"/>
      <c r="O712" s="175"/>
      <c r="P712" s="169"/>
    </row>
    <row r="713" spans="1:16" ht="63" hidden="1">
      <c r="A713" s="8"/>
      <c r="B713" s="26"/>
      <c r="C713" s="26"/>
      <c r="D713" s="26"/>
      <c r="E713" s="26"/>
      <c r="F713" s="27"/>
      <c r="G713" s="214" t="s">
        <v>3</v>
      </c>
      <c r="H713" s="7" t="s">
        <v>0</v>
      </c>
      <c r="I713" s="148">
        <v>100</v>
      </c>
      <c r="J713" s="1"/>
      <c r="K713" s="1"/>
      <c r="L713" s="131"/>
      <c r="M713" s="131"/>
      <c r="N713" s="131"/>
      <c r="O713" s="175"/>
      <c r="P713" s="169"/>
    </row>
    <row r="714" spans="1:16" ht="31.5" hidden="1">
      <c r="A714" s="8"/>
      <c r="B714" s="26"/>
      <c r="C714" s="26"/>
      <c r="D714" s="26"/>
      <c r="E714" s="26"/>
      <c r="F714" s="27"/>
      <c r="G714" s="214" t="s">
        <v>2</v>
      </c>
      <c r="H714" s="7" t="s">
        <v>0</v>
      </c>
      <c r="I714" s="148">
        <v>200</v>
      </c>
      <c r="J714" s="1"/>
      <c r="K714" s="1"/>
      <c r="L714" s="131"/>
      <c r="M714" s="131"/>
      <c r="N714" s="131"/>
      <c r="O714" s="175"/>
      <c r="P714" s="169"/>
    </row>
    <row r="715" spans="1:16" ht="36" customHeight="1" hidden="1">
      <c r="A715" s="8"/>
      <c r="B715" s="26"/>
      <c r="C715" s="26"/>
      <c r="D715" s="26"/>
      <c r="E715" s="26"/>
      <c r="F715" s="27"/>
      <c r="G715" s="214" t="s">
        <v>681</v>
      </c>
      <c r="H715" s="7" t="s">
        <v>680</v>
      </c>
      <c r="I715" s="148"/>
      <c r="J715" s="1">
        <f>J716</f>
        <v>413740</v>
      </c>
      <c r="K715" s="1"/>
      <c r="L715" s="131"/>
      <c r="M715" s="131">
        <f>M716</f>
        <v>0</v>
      </c>
      <c r="N715" s="131">
        <f>N716</f>
        <v>0</v>
      </c>
      <c r="O715" s="175"/>
      <c r="P715" s="169"/>
    </row>
    <row r="716" spans="1:16" ht="31.5" hidden="1">
      <c r="A716" s="8"/>
      <c r="B716" s="26"/>
      <c r="C716" s="26"/>
      <c r="D716" s="26"/>
      <c r="E716" s="26"/>
      <c r="F716" s="27"/>
      <c r="G716" s="214" t="s">
        <v>2</v>
      </c>
      <c r="H716" s="7"/>
      <c r="I716" s="148">
        <v>200</v>
      </c>
      <c r="J716" s="1">
        <v>413740</v>
      </c>
      <c r="K716" s="1"/>
      <c r="L716" s="131"/>
      <c r="M716" s="131">
        <v>0</v>
      </c>
      <c r="N716" s="131"/>
      <c r="O716" s="175"/>
      <c r="P716" s="169"/>
    </row>
    <row r="717" spans="1:16" s="82" customFormat="1" ht="55.5" customHeight="1">
      <c r="A717" s="81"/>
      <c r="B717" s="85"/>
      <c r="C717" s="85"/>
      <c r="D717" s="85"/>
      <c r="E717" s="85"/>
      <c r="F717" s="86"/>
      <c r="G717" s="214" t="s">
        <v>110</v>
      </c>
      <c r="H717" s="7" t="s">
        <v>439</v>
      </c>
      <c r="I717" s="148"/>
      <c r="J717" s="1">
        <f>J718+J719</f>
        <v>977978</v>
      </c>
      <c r="K717" s="1">
        <f>K718+K719</f>
        <v>0</v>
      </c>
      <c r="L717" s="131">
        <f>L718+L719</f>
        <v>977978</v>
      </c>
      <c r="M717" s="131">
        <f>M718+M719</f>
        <v>0</v>
      </c>
      <c r="N717" s="131">
        <f>N718+N719</f>
        <v>972777</v>
      </c>
      <c r="O717" s="175"/>
      <c r="P717" s="169"/>
    </row>
    <row r="718" spans="1:16" s="82" customFormat="1" ht="63">
      <c r="A718" s="81"/>
      <c r="B718" s="85"/>
      <c r="C718" s="85"/>
      <c r="D718" s="85"/>
      <c r="E718" s="85"/>
      <c r="F718" s="86"/>
      <c r="G718" s="214" t="s">
        <v>3</v>
      </c>
      <c r="H718" s="7"/>
      <c r="I718" s="148">
        <v>100</v>
      </c>
      <c r="J718" s="1">
        <v>743452</v>
      </c>
      <c r="K718" s="1"/>
      <c r="L718" s="131">
        <f>K718+J718</f>
        <v>743452</v>
      </c>
      <c r="M718" s="131"/>
      <c r="N718" s="131">
        <v>680390</v>
      </c>
      <c r="O718" s="175"/>
      <c r="P718" s="169"/>
    </row>
    <row r="719" spans="1:16" s="82" customFormat="1" ht="31.5">
      <c r="A719" s="81"/>
      <c r="B719" s="85"/>
      <c r="C719" s="85"/>
      <c r="D719" s="85"/>
      <c r="E719" s="85"/>
      <c r="F719" s="86"/>
      <c r="G719" s="214" t="s">
        <v>2</v>
      </c>
      <c r="H719" s="7"/>
      <c r="I719" s="148">
        <v>200</v>
      </c>
      <c r="J719" s="1">
        <v>234526</v>
      </c>
      <c r="K719" s="1"/>
      <c r="L719" s="131">
        <f>K719+J719</f>
        <v>234526</v>
      </c>
      <c r="M719" s="131"/>
      <c r="N719" s="131">
        <v>292387</v>
      </c>
      <c r="O719" s="175"/>
      <c r="P719" s="169"/>
    </row>
    <row r="720" spans="1:16" s="82" customFormat="1" ht="47.25">
      <c r="A720" s="81"/>
      <c r="B720" s="85"/>
      <c r="C720" s="85"/>
      <c r="D720" s="85"/>
      <c r="E720" s="85"/>
      <c r="F720" s="86"/>
      <c r="G720" s="214" t="s">
        <v>525</v>
      </c>
      <c r="H720" s="7" t="s">
        <v>467</v>
      </c>
      <c r="I720" s="148"/>
      <c r="J720" s="1">
        <f>SUM(J721)</f>
        <v>1765</v>
      </c>
      <c r="K720" s="1">
        <f>SUM(K721)</f>
        <v>0</v>
      </c>
      <c r="L720" s="131">
        <f>SUM(L721)</f>
        <v>1765</v>
      </c>
      <c r="M720" s="131">
        <f>SUM(M721)</f>
        <v>0</v>
      </c>
      <c r="N720" s="131">
        <f>SUM(N721)</f>
        <v>307</v>
      </c>
      <c r="O720" s="175"/>
      <c r="P720" s="169"/>
    </row>
    <row r="721" spans="1:16" s="82" customFormat="1" ht="33.75" customHeight="1">
      <c r="A721" s="81"/>
      <c r="B721" s="85"/>
      <c r="C721" s="85"/>
      <c r="D721" s="85"/>
      <c r="E721" s="85"/>
      <c r="F721" s="86"/>
      <c r="G721" s="214" t="s">
        <v>2</v>
      </c>
      <c r="H721" s="7"/>
      <c r="I721" s="148">
        <v>200</v>
      </c>
      <c r="J721" s="1">
        <v>1765</v>
      </c>
      <c r="K721" s="1"/>
      <c r="L721" s="131">
        <f>K721+J721</f>
        <v>1765</v>
      </c>
      <c r="M721" s="131"/>
      <c r="N721" s="131">
        <v>307</v>
      </c>
      <c r="O721" s="175"/>
      <c r="P721" s="169"/>
    </row>
    <row r="722" spans="1:16" ht="21.75" customHeight="1">
      <c r="A722" s="8"/>
      <c r="B722" s="26"/>
      <c r="C722" s="26"/>
      <c r="D722" s="26"/>
      <c r="E722" s="26"/>
      <c r="F722" s="27"/>
      <c r="G722" s="214" t="s">
        <v>107</v>
      </c>
      <c r="H722" s="7" t="s">
        <v>440</v>
      </c>
      <c r="I722" s="148" t="s">
        <v>0</v>
      </c>
      <c r="J722" s="1">
        <f>J723</f>
        <v>1556800</v>
      </c>
      <c r="K722" s="1">
        <f>K723</f>
        <v>0</v>
      </c>
      <c r="L722" s="131">
        <f>L723</f>
        <v>1556800</v>
      </c>
      <c r="M722" s="131">
        <f>M723</f>
        <v>0</v>
      </c>
      <c r="N722" s="131">
        <f>N723</f>
        <v>3390366</v>
      </c>
      <c r="O722" s="175"/>
      <c r="P722" s="169"/>
    </row>
    <row r="723" spans="1:16" ht="63">
      <c r="A723" s="8"/>
      <c r="B723" s="26"/>
      <c r="C723" s="26"/>
      <c r="D723" s="26"/>
      <c r="E723" s="26"/>
      <c r="F723" s="27"/>
      <c r="G723" s="214" t="s">
        <v>3</v>
      </c>
      <c r="H723" s="121"/>
      <c r="I723" s="148">
        <v>100</v>
      </c>
      <c r="J723" s="1">
        <v>1556800</v>
      </c>
      <c r="K723" s="1"/>
      <c r="L723" s="131">
        <f>K723+J723</f>
        <v>1556800</v>
      </c>
      <c r="M723" s="131"/>
      <c r="N723" s="131">
        <f>1652860+1299667+303461+134378</f>
        <v>3390366</v>
      </c>
      <c r="O723" s="175"/>
      <c r="P723" s="169"/>
    </row>
    <row r="724" spans="1:16" ht="31.5">
      <c r="A724" s="8"/>
      <c r="B724" s="26"/>
      <c r="C724" s="26"/>
      <c r="D724" s="26"/>
      <c r="E724" s="26"/>
      <c r="F724" s="27"/>
      <c r="G724" s="214" t="s">
        <v>108</v>
      </c>
      <c r="H724" s="7" t="s">
        <v>441</v>
      </c>
      <c r="I724" s="148" t="s">
        <v>0</v>
      </c>
      <c r="J724" s="1">
        <f>J725</f>
        <v>5000</v>
      </c>
      <c r="K724" s="1">
        <f>K725</f>
        <v>0</v>
      </c>
      <c r="L724" s="131">
        <f>L725</f>
        <v>5000</v>
      </c>
      <c r="M724" s="131">
        <f>M725</f>
        <v>0</v>
      </c>
      <c r="N724" s="131">
        <f>N725</f>
        <v>5000</v>
      </c>
      <c r="O724" s="175"/>
      <c r="P724" s="169"/>
    </row>
    <row r="725" spans="1:16" ht="63">
      <c r="A725" s="8"/>
      <c r="B725" s="26"/>
      <c r="C725" s="26"/>
      <c r="D725" s="26"/>
      <c r="E725" s="26"/>
      <c r="F725" s="27"/>
      <c r="G725" s="214" t="s">
        <v>3</v>
      </c>
      <c r="H725" s="121"/>
      <c r="I725" s="148">
        <v>100</v>
      </c>
      <c r="J725" s="1">
        <v>5000</v>
      </c>
      <c r="K725" s="1"/>
      <c r="L725" s="131">
        <f>K725+J725</f>
        <v>5000</v>
      </c>
      <c r="M725" s="131"/>
      <c r="N725" s="131">
        <v>5000</v>
      </c>
      <c r="O725" s="175"/>
      <c r="P725" s="169"/>
    </row>
    <row r="726" spans="1:16" ht="31.5">
      <c r="A726" s="8"/>
      <c r="B726" s="26"/>
      <c r="C726" s="26"/>
      <c r="D726" s="26"/>
      <c r="E726" s="26"/>
      <c r="F726" s="27"/>
      <c r="G726" s="214" t="s">
        <v>109</v>
      </c>
      <c r="H726" s="7" t="s">
        <v>442</v>
      </c>
      <c r="I726" s="148"/>
      <c r="J726" s="1">
        <f>J727+J728</f>
        <v>20000</v>
      </c>
      <c r="K726" s="1">
        <f>K727+K728</f>
        <v>0</v>
      </c>
      <c r="L726" s="131">
        <f>L727+L728</f>
        <v>20000</v>
      </c>
      <c r="M726" s="131">
        <f>M727+M728</f>
        <v>0</v>
      </c>
      <c r="N726" s="131">
        <f>N727+N728</f>
        <v>20000</v>
      </c>
      <c r="O726" s="175"/>
      <c r="P726" s="169"/>
    </row>
    <row r="727" spans="1:16" ht="63">
      <c r="A727" s="8"/>
      <c r="B727" s="26"/>
      <c r="C727" s="26"/>
      <c r="D727" s="26"/>
      <c r="E727" s="26"/>
      <c r="F727" s="27"/>
      <c r="G727" s="214" t="s">
        <v>3</v>
      </c>
      <c r="H727" s="121"/>
      <c r="I727" s="148">
        <v>100</v>
      </c>
      <c r="J727" s="1">
        <v>10000</v>
      </c>
      <c r="K727" s="1"/>
      <c r="L727" s="131">
        <f>K727+J727</f>
        <v>10000</v>
      </c>
      <c r="M727" s="131"/>
      <c r="N727" s="131">
        <v>10000</v>
      </c>
      <c r="O727" s="175"/>
      <c r="P727" s="169"/>
    </row>
    <row r="728" spans="1:16" ht="31.5">
      <c r="A728" s="8"/>
      <c r="B728" s="26"/>
      <c r="C728" s="26"/>
      <c r="D728" s="26"/>
      <c r="E728" s="26"/>
      <c r="F728" s="27"/>
      <c r="G728" s="214" t="s">
        <v>2</v>
      </c>
      <c r="H728" s="121"/>
      <c r="I728" s="148">
        <v>200</v>
      </c>
      <c r="J728" s="1">
        <v>10000</v>
      </c>
      <c r="K728" s="1"/>
      <c r="L728" s="131">
        <f>K728+J728</f>
        <v>10000</v>
      </c>
      <c r="M728" s="131"/>
      <c r="N728" s="131">
        <v>10000</v>
      </c>
      <c r="O728" s="175"/>
      <c r="P728" s="169"/>
    </row>
    <row r="729" spans="1:16" ht="47.25">
      <c r="A729" s="8"/>
      <c r="B729" s="26"/>
      <c r="C729" s="26"/>
      <c r="D729" s="26"/>
      <c r="E729" s="26"/>
      <c r="F729" s="27"/>
      <c r="G729" s="214" t="s">
        <v>736</v>
      </c>
      <c r="H729" s="7" t="s">
        <v>443</v>
      </c>
      <c r="I729" s="148"/>
      <c r="J729" s="1">
        <f>J730+J731+J733</f>
        <v>16987500</v>
      </c>
      <c r="K729" s="1">
        <f>K730+K731+K733</f>
        <v>0</v>
      </c>
      <c r="L729" s="131">
        <f>L730+L731+L733</f>
        <v>16987500</v>
      </c>
      <c r="M729" s="131">
        <f>M730+M731+M733</f>
        <v>0</v>
      </c>
      <c r="N729" s="131">
        <f>N730+N731+N733+N732</f>
        <v>17117366</v>
      </c>
      <c r="O729" s="175"/>
      <c r="P729" s="169"/>
    </row>
    <row r="730" spans="1:16" ht="63">
      <c r="A730" s="8"/>
      <c r="B730" s="26"/>
      <c r="C730" s="26"/>
      <c r="D730" s="26"/>
      <c r="E730" s="26"/>
      <c r="F730" s="27"/>
      <c r="G730" s="214" t="s">
        <v>3</v>
      </c>
      <c r="H730" s="7" t="s">
        <v>0</v>
      </c>
      <c r="I730" s="148">
        <v>100</v>
      </c>
      <c r="J730" s="1">
        <v>15080500</v>
      </c>
      <c r="K730" s="1"/>
      <c r="L730" s="131">
        <f>K730+J730</f>
        <v>15080500</v>
      </c>
      <c r="M730" s="131"/>
      <c r="N730" s="237">
        <f>17316205-1299667-303461-218703-172696</f>
        <v>15321678</v>
      </c>
      <c r="O730" s="175"/>
      <c r="P730" s="169"/>
    </row>
    <row r="731" spans="1:16" ht="31.5">
      <c r="A731" s="8"/>
      <c r="B731" s="26"/>
      <c r="C731" s="26"/>
      <c r="D731" s="26"/>
      <c r="E731" s="26"/>
      <c r="F731" s="27"/>
      <c r="G731" s="214" t="s">
        <v>2</v>
      </c>
      <c r="H731" s="7" t="s">
        <v>0</v>
      </c>
      <c r="I731" s="148">
        <v>200</v>
      </c>
      <c r="J731" s="1">
        <v>1807000</v>
      </c>
      <c r="K731" s="1"/>
      <c r="L731" s="131">
        <f>K731+J731</f>
        <v>1807000</v>
      </c>
      <c r="M731" s="131"/>
      <c r="N731" s="237">
        <f>1471985-8840-15780</f>
        <v>1447365</v>
      </c>
      <c r="O731" s="175"/>
      <c r="P731" s="169"/>
    </row>
    <row r="732" spans="1:16" ht="15.75">
      <c r="A732" s="8"/>
      <c r="B732" s="26"/>
      <c r="C732" s="26"/>
      <c r="D732" s="26"/>
      <c r="E732" s="26"/>
      <c r="F732" s="27"/>
      <c r="G732" s="214" t="s">
        <v>5</v>
      </c>
      <c r="H732" s="7"/>
      <c r="I732" s="148">
        <v>300</v>
      </c>
      <c r="J732" s="1"/>
      <c r="K732" s="1"/>
      <c r="L732" s="131"/>
      <c r="M732" s="131"/>
      <c r="N732" s="237">
        <v>218703</v>
      </c>
      <c r="O732" s="175"/>
      <c r="P732" s="169"/>
    </row>
    <row r="733" spans="1:16" ht="15.75">
      <c r="A733" s="8"/>
      <c r="B733" s="26"/>
      <c r="C733" s="26"/>
      <c r="D733" s="26"/>
      <c r="E733" s="26"/>
      <c r="F733" s="27"/>
      <c r="G733" s="214" t="s">
        <v>1</v>
      </c>
      <c r="H733" s="7" t="s">
        <v>0</v>
      </c>
      <c r="I733" s="148">
        <v>800</v>
      </c>
      <c r="J733" s="1">
        <v>100000</v>
      </c>
      <c r="K733" s="1"/>
      <c r="L733" s="131">
        <f>K733+J733</f>
        <v>100000</v>
      </c>
      <c r="M733" s="131"/>
      <c r="N733" s="237">
        <f>105000+8840+15780</f>
        <v>129620</v>
      </c>
      <c r="O733" s="175"/>
      <c r="P733" s="169"/>
    </row>
    <row r="734" spans="1:16" ht="36.75" customHeight="1">
      <c r="A734" s="8"/>
      <c r="B734" s="26"/>
      <c r="C734" s="26"/>
      <c r="D734" s="26"/>
      <c r="E734" s="26"/>
      <c r="F734" s="27"/>
      <c r="G734" s="214" t="s">
        <v>867</v>
      </c>
      <c r="H734" s="7" t="s">
        <v>444</v>
      </c>
      <c r="I734" s="148"/>
      <c r="J734" s="1">
        <f>J735</f>
        <v>719005</v>
      </c>
      <c r="K734" s="1">
        <f>K735</f>
        <v>0</v>
      </c>
      <c r="L734" s="131">
        <f>L735</f>
        <v>719005</v>
      </c>
      <c r="M734" s="131">
        <f>M735</f>
        <v>0</v>
      </c>
      <c r="N734" s="131">
        <f>N735</f>
        <v>870906</v>
      </c>
      <c r="O734" s="150"/>
      <c r="P734" s="169"/>
    </row>
    <row r="735" spans="1:16" ht="63">
      <c r="A735" s="8"/>
      <c r="B735" s="26"/>
      <c r="C735" s="26"/>
      <c r="D735" s="26"/>
      <c r="E735" s="26"/>
      <c r="F735" s="27"/>
      <c r="G735" s="214" t="s">
        <v>3</v>
      </c>
      <c r="H735" s="7" t="s">
        <v>0</v>
      </c>
      <c r="I735" s="148">
        <v>100</v>
      </c>
      <c r="J735" s="1">
        <v>719005</v>
      </c>
      <c r="K735" s="1"/>
      <c r="L735" s="131">
        <f>K735+J735</f>
        <v>719005</v>
      </c>
      <c r="M735" s="131"/>
      <c r="N735" s="131">
        <f>832588+38318</f>
        <v>870906</v>
      </c>
      <c r="O735" s="150"/>
      <c r="P735" s="169"/>
    </row>
    <row r="736" spans="1:16" ht="31.5">
      <c r="A736" s="8"/>
      <c r="B736" s="26"/>
      <c r="C736" s="26"/>
      <c r="D736" s="26"/>
      <c r="E736" s="26"/>
      <c r="F736" s="27"/>
      <c r="G736" s="214" t="s">
        <v>866</v>
      </c>
      <c r="H736" s="7" t="s">
        <v>445</v>
      </c>
      <c r="I736" s="148"/>
      <c r="J736" s="1">
        <f>J737+J738+J739</f>
        <v>403705</v>
      </c>
      <c r="K736" s="1">
        <f>K737+K738+K739</f>
        <v>0</v>
      </c>
      <c r="L736" s="131">
        <f>L737+L738+L739</f>
        <v>403705</v>
      </c>
      <c r="M736" s="131">
        <f>M737+M738+M739</f>
        <v>0</v>
      </c>
      <c r="N736" s="131">
        <f>N737+N738+N739</f>
        <v>23000</v>
      </c>
      <c r="O736" s="150"/>
      <c r="P736" s="169"/>
    </row>
    <row r="737" spans="1:16" ht="63" hidden="1">
      <c r="A737" s="8"/>
      <c r="B737" s="26"/>
      <c r="C737" s="26"/>
      <c r="D737" s="26"/>
      <c r="E737" s="26"/>
      <c r="F737" s="27"/>
      <c r="G737" s="214" t="s">
        <v>3</v>
      </c>
      <c r="H737" s="7"/>
      <c r="I737" s="148">
        <v>100</v>
      </c>
      <c r="J737" s="1">
        <v>383705</v>
      </c>
      <c r="K737" s="1">
        <v>-9800</v>
      </c>
      <c r="L737" s="131">
        <f>K737+J737</f>
        <v>373905</v>
      </c>
      <c r="M737" s="131"/>
      <c r="N737" s="131"/>
      <c r="O737" s="150"/>
      <c r="P737" s="169"/>
    </row>
    <row r="738" spans="1:16" ht="30" customHeight="1">
      <c r="A738" s="8"/>
      <c r="B738" s="26"/>
      <c r="C738" s="26"/>
      <c r="D738" s="26"/>
      <c r="E738" s="26"/>
      <c r="F738" s="27"/>
      <c r="G738" s="214" t="s">
        <v>2</v>
      </c>
      <c r="H738" s="7"/>
      <c r="I738" s="148">
        <v>200</v>
      </c>
      <c r="J738" s="1">
        <v>20000</v>
      </c>
      <c r="K738" s="1">
        <v>9800</v>
      </c>
      <c r="L738" s="131">
        <f>K738+J738</f>
        <v>29800</v>
      </c>
      <c r="M738" s="131"/>
      <c r="N738" s="131">
        <v>23000</v>
      </c>
      <c r="O738" s="175"/>
      <c r="P738" s="169"/>
    </row>
    <row r="739" spans="1:16" ht="24.75" customHeight="1" hidden="1">
      <c r="A739" s="8"/>
      <c r="B739" s="26"/>
      <c r="C739" s="26"/>
      <c r="D739" s="26"/>
      <c r="E739" s="26"/>
      <c r="F739" s="27"/>
      <c r="G739" s="214" t="s">
        <v>1</v>
      </c>
      <c r="H739" s="7"/>
      <c r="I739" s="148">
        <v>800</v>
      </c>
      <c r="J739" s="1">
        <v>0</v>
      </c>
      <c r="K739" s="1"/>
      <c r="L739" s="131"/>
      <c r="M739" s="131"/>
      <c r="N739" s="131"/>
      <c r="O739" s="175"/>
      <c r="P739" s="169"/>
    </row>
    <row r="740" spans="1:16" ht="31.5">
      <c r="A740" s="8"/>
      <c r="B740" s="26"/>
      <c r="C740" s="26"/>
      <c r="D740" s="26"/>
      <c r="E740" s="26"/>
      <c r="F740" s="27"/>
      <c r="G740" s="214" t="s">
        <v>118</v>
      </c>
      <c r="H740" s="7" t="s">
        <v>446</v>
      </c>
      <c r="I740" s="148"/>
      <c r="J740" s="1">
        <f>J741+J742</f>
        <v>7513000</v>
      </c>
      <c r="K740" s="1">
        <f>K741+K742</f>
        <v>0</v>
      </c>
      <c r="L740" s="131">
        <f>L741+L742</f>
        <v>7513000</v>
      </c>
      <c r="M740" s="131">
        <f>M741+M742</f>
        <v>0</v>
      </c>
      <c r="N740" s="131">
        <f>N741+N742+N744</f>
        <v>7868690</v>
      </c>
      <c r="O740" s="175"/>
      <c r="P740" s="169"/>
    </row>
    <row r="741" spans="1:16" s="48" customFormat="1" ht="63">
      <c r="A741" s="47"/>
      <c r="B741" s="59"/>
      <c r="C741" s="59"/>
      <c r="D741" s="59"/>
      <c r="E741" s="59"/>
      <c r="F741" s="60"/>
      <c r="G741" s="214" t="s">
        <v>3</v>
      </c>
      <c r="H741" s="7"/>
      <c r="I741" s="148">
        <v>100</v>
      </c>
      <c r="J741" s="1">
        <v>7098000</v>
      </c>
      <c r="K741" s="1"/>
      <c r="L741" s="131">
        <f>K741+J741</f>
        <v>7098000</v>
      </c>
      <c r="M741" s="131"/>
      <c r="N741" s="131">
        <f>7453690-104744</f>
        <v>7348946</v>
      </c>
      <c r="O741" s="175"/>
      <c r="P741" s="169"/>
    </row>
    <row r="742" spans="1:16" s="48" customFormat="1" ht="31.5">
      <c r="A742" s="47"/>
      <c r="B742" s="59"/>
      <c r="C742" s="59"/>
      <c r="D742" s="59"/>
      <c r="E742" s="59"/>
      <c r="F742" s="60"/>
      <c r="G742" s="214" t="s">
        <v>2</v>
      </c>
      <c r="H742" s="7"/>
      <c r="I742" s="148">
        <v>200</v>
      </c>
      <c r="J742" s="1">
        <v>415000</v>
      </c>
      <c r="K742" s="1"/>
      <c r="L742" s="131">
        <f>K742+J742</f>
        <v>415000</v>
      </c>
      <c r="M742" s="131"/>
      <c r="N742" s="131">
        <v>415000</v>
      </c>
      <c r="O742" s="175"/>
      <c r="P742" s="169"/>
    </row>
    <row r="743" spans="1:16" ht="15.75" hidden="1">
      <c r="A743" s="8"/>
      <c r="B743" s="26"/>
      <c r="C743" s="26"/>
      <c r="D743" s="26"/>
      <c r="E743" s="26"/>
      <c r="F743" s="27"/>
      <c r="G743" s="214" t="s">
        <v>1</v>
      </c>
      <c r="H743" s="7"/>
      <c r="I743" s="148">
        <v>800</v>
      </c>
      <c r="J743" s="1"/>
      <c r="K743" s="1"/>
      <c r="L743" s="131"/>
      <c r="M743" s="131"/>
      <c r="N743" s="131"/>
      <c r="O743" s="175"/>
      <c r="P743" s="169"/>
    </row>
    <row r="744" spans="1:16" ht="15.75">
      <c r="A744" s="8"/>
      <c r="B744" s="26"/>
      <c r="C744" s="26"/>
      <c r="D744" s="26"/>
      <c r="E744" s="26"/>
      <c r="F744" s="27"/>
      <c r="G744" s="214" t="s">
        <v>5</v>
      </c>
      <c r="H744" s="7"/>
      <c r="I744" s="148">
        <v>300</v>
      </c>
      <c r="J744" s="1"/>
      <c r="K744" s="1"/>
      <c r="L744" s="131"/>
      <c r="M744" s="131"/>
      <c r="N744" s="131">
        <v>104744</v>
      </c>
      <c r="O744" s="175"/>
      <c r="P744" s="169"/>
    </row>
    <row r="745" spans="1:16" ht="31.5">
      <c r="A745" s="8"/>
      <c r="B745" s="26"/>
      <c r="C745" s="26"/>
      <c r="D745" s="26"/>
      <c r="E745" s="26"/>
      <c r="F745" s="27"/>
      <c r="G745" s="214" t="s">
        <v>119</v>
      </c>
      <c r="H745" s="7" t="s">
        <v>447</v>
      </c>
      <c r="I745" s="148"/>
      <c r="J745" s="1">
        <f>J746+J747+J748</f>
        <v>2342000</v>
      </c>
      <c r="K745" s="1">
        <f>K746+K747+K748</f>
        <v>0</v>
      </c>
      <c r="L745" s="131">
        <f>L746+L747+L748</f>
        <v>2342000</v>
      </c>
      <c r="M745" s="131">
        <f>M746+M747+M748</f>
        <v>0</v>
      </c>
      <c r="N745" s="131">
        <f>N746+N747+N748+N749</f>
        <v>2666100</v>
      </c>
      <c r="O745" s="175"/>
      <c r="P745" s="169"/>
    </row>
    <row r="746" spans="1:16" ht="63">
      <c r="A746" s="8"/>
      <c r="B746" s="26"/>
      <c r="C746" s="26"/>
      <c r="D746" s="26"/>
      <c r="E746" s="26"/>
      <c r="F746" s="27"/>
      <c r="G746" s="214" t="s">
        <v>3</v>
      </c>
      <c r="H746" s="7"/>
      <c r="I746" s="148">
        <v>100</v>
      </c>
      <c r="J746" s="1">
        <v>2301500</v>
      </c>
      <c r="K746" s="1"/>
      <c r="L746" s="131">
        <f>K746+J746</f>
        <v>2301500</v>
      </c>
      <c r="M746" s="131"/>
      <c r="N746" s="131">
        <f>2630000-96165</f>
        <v>2533835</v>
      </c>
      <c r="O746" s="175"/>
      <c r="P746" s="169"/>
    </row>
    <row r="747" spans="1:16" ht="31.5">
      <c r="A747" s="8"/>
      <c r="B747" s="26"/>
      <c r="C747" s="26"/>
      <c r="D747" s="26"/>
      <c r="E747" s="26"/>
      <c r="F747" s="27"/>
      <c r="G747" s="214" t="s">
        <v>2</v>
      </c>
      <c r="H747" s="7"/>
      <c r="I747" s="148">
        <v>200</v>
      </c>
      <c r="J747" s="1">
        <v>40500</v>
      </c>
      <c r="K747" s="1"/>
      <c r="L747" s="131">
        <f>K747+J747</f>
        <v>40500</v>
      </c>
      <c r="M747" s="131"/>
      <c r="N747" s="131">
        <v>36100</v>
      </c>
      <c r="O747" s="175"/>
      <c r="P747" s="169"/>
    </row>
    <row r="748" spans="1:16" ht="15.75" hidden="1">
      <c r="A748" s="8"/>
      <c r="B748" s="26"/>
      <c r="C748" s="26"/>
      <c r="D748" s="26"/>
      <c r="E748" s="26"/>
      <c r="F748" s="27"/>
      <c r="G748" s="214" t="s">
        <v>1</v>
      </c>
      <c r="H748" s="7"/>
      <c r="I748" s="148">
        <v>800</v>
      </c>
      <c r="J748" s="1"/>
      <c r="K748" s="1"/>
      <c r="L748" s="131">
        <f>K748+J748</f>
        <v>0</v>
      </c>
      <c r="M748" s="131"/>
      <c r="N748" s="131"/>
      <c r="O748" s="175"/>
      <c r="P748" s="169"/>
    </row>
    <row r="749" spans="1:16" ht="15.75">
      <c r="A749" s="8"/>
      <c r="B749" s="26"/>
      <c r="C749" s="26"/>
      <c r="D749" s="26"/>
      <c r="E749" s="26"/>
      <c r="F749" s="27"/>
      <c r="G749" s="214" t="s">
        <v>5</v>
      </c>
      <c r="H749" s="7"/>
      <c r="I749" s="148">
        <v>300</v>
      </c>
      <c r="J749" s="1"/>
      <c r="K749" s="1"/>
      <c r="L749" s="131"/>
      <c r="M749" s="131"/>
      <c r="N749" s="131">
        <v>96165</v>
      </c>
      <c r="O749" s="175"/>
      <c r="P749" s="169"/>
    </row>
    <row r="750" spans="1:16" ht="31.5">
      <c r="A750" s="8"/>
      <c r="B750" s="26"/>
      <c r="C750" s="26"/>
      <c r="D750" s="26"/>
      <c r="E750" s="26"/>
      <c r="F750" s="27"/>
      <c r="G750" s="214" t="s">
        <v>120</v>
      </c>
      <c r="H750" s="7" t="s">
        <v>448</v>
      </c>
      <c r="I750" s="148"/>
      <c r="J750" s="1">
        <f>J753+J752+J751</f>
        <v>1460000</v>
      </c>
      <c r="K750" s="1">
        <f>K753+K752+K751</f>
        <v>0</v>
      </c>
      <c r="L750" s="131">
        <f>L753+L752+L751</f>
        <v>1460000</v>
      </c>
      <c r="M750" s="131">
        <f>M753+M752+M751</f>
        <v>0</v>
      </c>
      <c r="N750" s="131">
        <f>N753+N752+N751</f>
        <v>2075000</v>
      </c>
      <c r="O750" s="175"/>
      <c r="P750" s="169"/>
    </row>
    <row r="751" spans="1:16" ht="63">
      <c r="A751" s="8"/>
      <c r="B751" s="26"/>
      <c r="C751" s="26"/>
      <c r="D751" s="26"/>
      <c r="E751" s="26"/>
      <c r="F751" s="27"/>
      <c r="G751" s="214" t="s">
        <v>3</v>
      </c>
      <c r="H751" s="7"/>
      <c r="I751" s="148">
        <v>100</v>
      </c>
      <c r="J751" s="1">
        <v>1390100</v>
      </c>
      <c r="K751" s="1"/>
      <c r="L751" s="131">
        <f>K751+J751</f>
        <v>1390100</v>
      </c>
      <c r="M751" s="131"/>
      <c r="N751" s="131">
        <v>2003000</v>
      </c>
      <c r="O751" s="175"/>
      <c r="P751" s="169"/>
    </row>
    <row r="752" spans="1:16" ht="31.5">
      <c r="A752" s="8"/>
      <c r="B752" s="26"/>
      <c r="C752" s="26"/>
      <c r="D752" s="26"/>
      <c r="E752" s="26"/>
      <c r="F752" s="27"/>
      <c r="G752" s="214" t="s">
        <v>2</v>
      </c>
      <c r="H752" s="7"/>
      <c r="I752" s="148">
        <v>200</v>
      </c>
      <c r="J752" s="1">
        <v>65900</v>
      </c>
      <c r="K752" s="1"/>
      <c r="L752" s="131">
        <f>K752+J752</f>
        <v>65900</v>
      </c>
      <c r="M752" s="131"/>
      <c r="N752" s="131">
        <v>68000</v>
      </c>
      <c r="O752" s="175"/>
      <c r="P752" s="169"/>
    </row>
    <row r="753" spans="1:16" ht="15.75">
      <c r="A753" s="8"/>
      <c r="B753" s="26"/>
      <c r="C753" s="26"/>
      <c r="D753" s="26"/>
      <c r="E753" s="26"/>
      <c r="F753" s="27"/>
      <c r="G753" s="214" t="s">
        <v>1</v>
      </c>
      <c r="H753" s="7"/>
      <c r="I753" s="148">
        <v>800</v>
      </c>
      <c r="J753" s="1">
        <v>4000</v>
      </c>
      <c r="K753" s="1"/>
      <c r="L753" s="131">
        <f>K753+J753</f>
        <v>4000</v>
      </c>
      <c r="M753" s="131"/>
      <c r="N753" s="131">
        <v>4000</v>
      </c>
      <c r="O753" s="175"/>
      <c r="P753" s="169"/>
    </row>
    <row r="754" spans="1:16" s="106" customFormat="1" ht="22.5" customHeight="1">
      <c r="A754" s="103"/>
      <c r="B754" s="104"/>
      <c r="C754" s="104"/>
      <c r="D754" s="104"/>
      <c r="E754" s="104"/>
      <c r="F754" s="105"/>
      <c r="G754" s="214" t="s">
        <v>147</v>
      </c>
      <c r="H754" s="7" t="s">
        <v>449</v>
      </c>
      <c r="I754" s="148"/>
      <c r="J754" s="1">
        <f>J755+J759</f>
        <v>200000</v>
      </c>
      <c r="K754" s="1">
        <f>K755+K759</f>
        <v>0</v>
      </c>
      <c r="L754" s="131">
        <f>L755+L759</f>
        <v>200000</v>
      </c>
      <c r="M754" s="131">
        <f>M755+M759</f>
        <v>0</v>
      </c>
      <c r="N754" s="131">
        <f>N757+N758+N759</f>
        <v>1000000</v>
      </c>
      <c r="O754" s="175"/>
      <c r="P754" s="169"/>
    </row>
    <row r="755" spans="1:16" s="106" customFormat="1" ht="21.75" customHeight="1" hidden="1">
      <c r="A755" s="103"/>
      <c r="B755" s="104"/>
      <c r="C755" s="104"/>
      <c r="D755" s="104"/>
      <c r="E755" s="104"/>
      <c r="F755" s="105"/>
      <c r="G755" s="214" t="s">
        <v>5</v>
      </c>
      <c r="H755" s="7"/>
      <c r="I755" s="148">
        <v>300</v>
      </c>
      <c r="J755" s="1"/>
      <c r="K755" s="1"/>
      <c r="L755" s="131">
        <f>K755+J755</f>
        <v>0</v>
      </c>
      <c r="M755" s="131"/>
      <c r="N755" s="131"/>
      <c r="O755" s="175"/>
      <c r="P755" s="169"/>
    </row>
    <row r="756" spans="1:16" s="106" customFormat="1" ht="21.75" customHeight="1" hidden="1">
      <c r="A756" s="103"/>
      <c r="B756" s="104"/>
      <c r="C756" s="104"/>
      <c r="D756" s="104"/>
      <c r="E756" s="104"/>
      <c r="F756" s="105"/>
      <c r="G756" s="214" t="s">
        <v>5</v>
      </c>
      <c r="H756" s="7"/>
      <c r="I756" s="148">
        <v>300</v>
      </c>
      <c r="J756" s="1"/>
      <c r="K756" s="1"/>
      <c r="L756" s="131"/>
      <c r="M756" s="131"/>
      <c r="N756" s="131"/>
      <c r="O756" s="175"/>
      <c r="P756" s="169"/>
    </row>
    <row r="757" spans="1:16" s="106" customFormat="1" ht="34.5" customHeight="1">
      <c r="A757" s="103"/>
      <c r="B757" s="104"/>
      <c r="C757" s="104"/>
      <c r="D757" s="104"/>
      <c r="E757" s="104"/>
      <c r="F757" s="105"/>
      <c r="G757" s="214" t="s">
        <v>2</v>
      </c>
      <c r="H757" s="7"/>
      <c r="I757" s="148">
        <v>200</v>
      </c>
      <c r="J757" s="1"/>
      <c r="K757" s="1"/>
      <c r="L757" s="131"/>
      <c r="M757" s="131"/>
      <c r="N757" s="131"/>
      <c r="O757" s="175"/>
      <c r="P757" s="169"/>
    </row>
    <row r="758" spans="1:16" s="106" customFormat="1" ht="15.75">
      <c r="A758" s="103"/>
      <c r="B758" s="104"/>
      <c r="C758" s="104"/>
      <c r="D758" s="104"/>
      <c r="E758" s="104"/>
      <c r="F758" s="105"/>
      <c r="G758" s="214" t="s">
        <v>5</v>
      </c>
      <c r="H758" s="7"/>
      <c r="I758" s="148">
        <v>300</v>
      </c>
      <c r="J758" s="1"/>
      <c r="K758" s="1"/>
      <c r="L758" s="131"/>
      <c r="M758" s="131"/>
      <c r="N758" s="131">
        <v>60000</v>
      </c>
      <c r="O758" s="175"/>
      <c r="P758" s="169"/>
    </row>
    <row r="759" spans="1:16" s="106" customFormat="1" ht="15.75">
      <c r="A759" s="103"/>
      <c r="B759" s="104"/>
      <c r="C759" s="104"/>
      <c r="D759" s="104"/>
      <c r="E759" s="104"/>
      <c r="F759" s="105"/>
      <c r="G759" s="214" t="s">
        <v>1</v>
      </c>
      <c r="H759" s="7" t="s">
        <v>0</v>
      </c>
      <c r="I759" s="148">
        <v>800</v>
      </c>
      <c r="J759" s="1">
        <v>200000</v>
      </c>
      <c r="K759" s="1"/>
      <c r="L759" s="131">
        <f>K759+J759</f>
        <v>200000</v>
      </c>
      <c r="M759" s="131"/>
      <c r="N759" s="131">
        <f>1000000-60000</f>
        <v>940000</v>
      </c>
      <c r="O759" s="175"/>
      <c r="P759" s="169"/>
    </row>
    <row r="760" spans="1:16" s="106" customFormat="1" ht="31.5" hidden="1">
      <c r="A760" s="103"/>
      <c r="B760" s="104"/>
      <c r="C760" s="104"/>
      <c r="D760" s="104"/>
      <c r="E760" s="104"/>
      <c r="F760" s="105"/>
      <c r="G760" s="214" t="s">
        <v>723</v>
      </c>
      <c r="H760" s="7" t="s">
        <v>724</v>
      </c>
      <c r="I760" s="148"/>
      <c r="J760" s="1"/>
      <c r="K760" s="1"/>
      <c r="L760" s="131"/>
      <c r="M760" s="131"/>
      <c r="N760" s="131">
        <f>N761</f>
        <v>0</v>
      </c>
      <c r="O760" s="150"/>
      <c r="P760" s="169"/>
    </row>
    <row r="761" spans="1:16" s="106" customFormat="1" ht="15.75" hidden="1">
      <c r="A761" s="103"/>
      <c r="B761" s="104"/>
      <c r="C761" s="104"/>
      <c r="D761" s="104"/>
      <c r="E761" s="104"/>
      <c r="F761" s="105"/>
      <c r="G761" s="214" t="s">
        <v>1</v>
      </c>
      <c r="H761" s="7" t="s">
        <v>0</v>
      </c>
      <c r="I761" s="148">
        <v>800</v>
      </c>
      <c r="J761" s="1"/>
      <c r="K761" s="1"/>
      <c r="L761" s="131"/>
      <c r="M761" s="131"/>
      <c r="N761" s="131"/>
      <c r="O761" s="150"/>
      <c r="P761" s="169"/>
    </row>
    <row r="762" spans="1:16" s="106" customFormat="1" ht="36" customHeight="1">
      <c r="A762" s="103"/>
      <c r="B762" s="104"/>
      <c r="C762" s="104"/>
      <c r="D762" s="104"/>
      <c r="E762" s="104"/>
      <c r="F762" s="105"/>
      <c r="G762" s="214" t="s">
        <v>786</v>
      </c>
      <c r="H762" s="7" t="s">
        <v>724</v>
      </c>
      <c r="I762" s="148"/>
      <c r="J762" s="1"/>
      <c r="K762" s="1"/>
      <c r="L762" s="131"/>
      <c r="M762" s="131"/>
      <c r="N762" s="131">
        <f>N763</f>
        <v>0</v>
      </c>
      <c r="O762" s="150"/>
      <c r="P762" s="169"/>
    </row>
    <row r="763" spans="1:16" s="106" customFormat="1" ht="31.5">
      <c r="A763" s="103"/>
      <c r="B763" s="104"/>
      <c r="C763" s="104"/>
      <c r="D763" s="104"/>
      <c r="E763" s="104"/>
      <c r="F763" s="105"/>
      <c r="G763" s="214" t="s">
        <v>2</v>
      </c>
      <c r="H763" s="7"/>
      <c r="I763" s="148">
        <v>200</v>
      </c>
      <c r="J763" s="1"/>
      <c r="K763" s="1"/>
      <c r="L763" s="131"/>
      <c r="M763" s="131"/>
      <c r="N763" s="131"/>
      <c r="O763" s="150"/>
      <c r="P763" s="169"/>
    </row>
    <row r="764" spans="1:16" s="46" customFormat="1" ht="36.75" customHeight="1">
      <c r="A764" s="43"/>
      <c r="B764" s="63"/>
      <c r="C764" s="63"/>
      <c r="D764" s="63"/>
      <c r="E764" s="63"/>
      <c r="F764" s="64"/>
      <c r="G764" s="214" t="s">
        <v>115</v>
      </c>
      <c r="H764" s="7" t="s">
        <v>450</v>
      </c>
      <c r="I764" s="148" t="s">
        <v>0</v>
      </c>
      <c r="J764" s="1">
        <f>J765+J766</f>
        <v>478753</v>
      </c>
      <c r="K764" s="1">
        <f>K765+K766</f>
        <v>0</v>
      </c>
      <c r="L764" s="131">
        <f>L765+L766</f>
        <v>478753</v>
      </c>
      <c r="M764" s="131">
        <f>M765+M766</f>
        <v>0</v>
      </c>
      <c r="N764" s="131">
        <f>N765+N766</f>
        <v>518777</v>
      </c>
      <c r="O764" s="175"/>
      <c r="P764" s="169"/>
    </row>
    <row r="765" spans="1:16" s="46" customFormat="1" ht="63">
      <c r="A765" s="43"/>
      <c r="B765" s="63"/>
      <c r="C765" s="63"/>
      <c r="D765" s="63"/>
      <c r="E765" s="63"/>
      <c r="F765" s="64"/>
      <c r="G765" s="214" t="s">
        <v>3</v>
      </c>
      <c r="H765" s="7" t="s">
        <v>0</v>
      </c>
      <c r="I765" s="148">
        <v>100</v>
      </c>
      <c r="J765" s="1">
        <v>416245</v>
      </c>
      <c r="K765" s="1">
        <v>37039</v>
      </c>
      <c r="L765" s="131">
        <f>K765+J765</f>
        <v>453284</v>
      </c>
      <c r="M765" s="131"/>
      <c r="N765" s="131">
        <f>471884+18101</f>
        <v>489985</v>
      </c>
      <c r="O765" s="175"/>
      <c r="P765" s="169"/>
    </row>
    <row r="766" spans="1:16" s="46" customFormat="1" ht="31.5">
      <c r="A766" s="43"/>
      <c r="B766" s="63"/>
      <c r="C766" s="63"/>
      <c r="D766" s="63"/>
      <c r="E766" s="63"/>
      <c r="F766" s="64"/>
      <c r="G766" s="214" t="s">
        <v>2</v>
      </c>
      <c r="H766" s="7"/>
      <c r="I766" s="148">
        <v>200</v>
      </c>
      <c r="J766" s="1">
        <v>62508</v>
      </c>
      <c r="K766" s="1">
        <v>-37039</v>
      </c>
      <c r="L766" s="131">
        <f>K766+J766</f>
        <v>25469</v>
      </c>
      <c r="M766" s="131"/>
      <c r="N766" s="131">
        <v>28792</v>
      </c>
      <c r="O766" s="175"/>
      <c r="P766" s="169"/>
    </row>
    <row r="767" spans="1:16" s="46" customFormat="1" ht="37.5" customHeight="1" hidden="1">
      <c r="A767" s="43"/>
      <c r="B767" s="63"/>
      <c r="C767" s="63"/>
      <c r="D767" s="63"/>
      <c r="E767" s="63"/>
      <c r="F767" s="64"/>
      <c r="G767" s="214" t="s">
        <v>726</v>
      </c>
      <c r="H767" s="7" t="s">
        <v>725</v>
      </c>
      <c r="I767" s="148"/>
      <c r="J767" s="1"/>
      <c r="K767" s="1"/>
      <c r="L767" s="131"/>
      <c r="M767" s="131"/>
      <c r="N767" s="131">
        <f>N768</f>
        <v>0</v>
      </c>
      <c r="O767" s="150"/>
      <c r="P767" s="169"/>
    </row>
    <row r="768" spans="1:16" s="46" customFormat="1" ht="15.75" hidden="1">
      <c r="A768" s="43"/>
      <c r="B768" s="63"/>
      <c r="C768" s="63"/>
      <c r="D768" s="63"/>
      <c r="E768" s="63"/>
      <c r="F768" s="64"/>
      <c r="G768" s="214" t="s">
        <v>5</v>
      </c>
      <c r="H768" s="7"/>
      <c r="I768" s="148">
        <v>300</v>
      </c>
      <c r="J768" s="1"/>
      <c r="K768" s="1"/>
      <c r="L768" s="131"/>
      <c r="M768" s="131"/>
      <c r="N768" s="131"/>
      <c r="O768" s="150"/>
      <c r="P768" s="169"/>
    </row>
    <row r="769" spans="1:16" s="82" customFormat="1" ht="58.5" customHeight="1">
      <c r="A769" s="81"/>
      <c r="B769" s="85"/>
      <c r="C769" s="85"/>
      <c r="D769" s="85"/>
      <c r="E769" s="85"/>
      <c r="F769" s="86"/>
      <c r="G769" s="214" t="s">
        <v>874</v>
      </c>
      <c r="H769" s="7" t="s">
        <v>451</v>
      </c>
      <c r="I769" s="148" t="s">
        <v>0</v>
      </c>
      <c r="J769" s="1">
        <f>J770+J771</f>
        <v>886052</v>
      </c>
      <c r="K769" s="1">
        <f>K770+K771</f>
        <v>0</v>
      </c>
      <c r="L769" s="131">
        <f>L770+L771</f>
        <v>886052</v>
      </c>
      <c r="M769" s="131">
        <f>M770+M771</f>
        <v>0</v>
      </c>
      <c r="N769" s="131">
        <f>N770+N771</f>
        <v>966096</v>
      </c>
      <c r="O769" s="175"/>
      <c r="P769" s="169"/>
    </row>
    <row r="770" spans="1:16" s="82" customFormat="1" ht="63">
      <c r="A770" s="81"/>
      <c r="B770" s="85"/>
      <c r="C770" s="85"/>
      <c r="D770" s="85"/>
      <c r="E770" s="85"/>
      <c r="F770" s="86"/>
      <c r="G770" s="214" t="s">
        <v>3</v>
      </c>
      <c r="H770" s="7"/>
      <c r="I770" s="148">
        <v>100</v>
      </c>
      <c r="J770" s="1">
        <v>743140</v>
      </c>
      <c r="K770" s="1"/>
      <c r="L770" s="131">
        <f>K770+J770</f>
        <v>743140</v>
      </c>
      <c r="M770" s="131"/>
      <c r="N770" s="131">
        <f>786984+36201</f>
        <v>823185</v>
      </c>
      <c r="O770" s="175"/>
      <c r="P770" s="169"/>
    </row>
    <row r="771" spans="1:16" s="82" customFormat="1" ht="31.5">
      <c r="A771" s="81"/>
      <c r="B771" s="85"/>
      <c r="C771" s="85"/>
      <c r="D771" s="85"/>
      <c r="E771" s="85"/>
      <c r="F771" s="86"/>
      <c r="G771" s="214" t="s">
        <v>2</v>
      </c>
      <c r="H771" s="7"/>
      <c r="I771" s="148">
        <v>200</v>
      </c>
      <c r="J771" s="1">
        <v>142912</v>
      </c>
      <c r="K771" s="1"/>
      <c r="L771" s="131">
        <f>K771+J771</f>
        <v>142912</v>
      </c>
      <c r="M771" s="131"/>
      <c r="N771" s="131">
        <v>142911</v>
      </c>
      <c r="O771" s="175"/>
      <c r="P771" s="169"/>
    </row>
    <row r="772" spans="1:16" s="82" customFormat="1" ht="33" customHeight="1">
      <c r="A772" s="81"/>
      <c r="B772" s="85"/>
      <c r="C772" s="85"/>
      <c r="D772" s="85"/>
      <c r="E772" s="85"/>
      <c r="F772" s="86"/>
      <c r="G772" s="214" t="s">
        <v>114</v>
      </c>
      <c r="H772" s="7" t="s">
        <v>452</v>
      </c>
      <c r="I772" s="148" t="s">
        <v>0</v>
      </c>
      <c r="J772" s="1">
        <f>J773+J774</f>
        <v>20679</v>
      </c>
      <c r="K772" s="1">
        <f>K773+K774</f>
        <v>0</v>
      </c>
      <c r="L772" s="131">
        <f>L773+L774</f>
        <v>20679</v>
      </c>
      <c r="M772" s="131">
        <f>M773+M774</f>
        <v>0</v>
      </c>
      <c r="N772" s="131">
        <f>N773+N774</f>
        <v>22380</v>
      </c>
      <c r="O772" s="175"/>
      <c r="P772" s="169"/>
    </row>
    <row r="773" spans="1:16" s="82" customFormat="1" ht="64.5" customHeight="1">
      <c r="A773" s="81"/>
      <c r="B773" s="85"/>
      <c r="C773" s="85"/>
      <c r="D773" s="85"/>
      <c r="E773" s="85"/>
      <c r="F773" s="86"/>
      <c r="G773" s="214" t="s">
        <v>3</v>
      </c>
      <c r="H773" s="7"/>
      <c r="I773" s="148">
        <v>100</v>
      </c>
      <c r="J773" s="1">
        <v>16249</v>
      </c>
      <c r="K773" s="1"/>
      <c r="L773" s="131">
        <f>K773+J773</f>
        <v>16249</v>
      </c>
      <c r="M773" s="131"/>
      <c r="N773" s="131">
        <f>19675+905</f>
        <v>20580</v>
      </c>
      <c r="O773" s="175"/>
      <c r="P773" s="169"/>
    </row>
    <row r="774" spans="1:16" s="82" customFormat="1" ht="31.5">
      <c r="A774" s="81"/>
      <c r="B774" s="85"/>
      <c r="C774" s="85"/>
      <c r="D774" s="85"/>
      <c r="E774" s="85"/>
      <c r="F774" s="86"/>
      <c r="G774" s="214" t="s">
        <v>2</v>
      </c>
      <c r="H774" s="7" t="s">
        <v>0</v>
      </c>
      <c r="I774" s="148">
        <v>200</v>
      </c>
      <c r="J774" s="1">
        <v>4430</v>
      </c>
      <c r="K774" s="1"/>
      <c r="L774" s="131">
        <f>K774+J774</f>
        <v>4430</v>
      </c>
      <c r="M774" s="131"/>
      <c r="N774" s="131">
        <v>1800</v>
      </c>
      <c r="O774" s="175"/>
      <c r="P774" s="169"/>
    </row>
    <row r="775" spans="1:16" s="70" customFormat="1" ht="33.75" customHeight="1">
      <c r="A775" s="67"/>
      <c r="B775" s="77"/>
      <c r="C775" s="77"/>
      <c r="D775" s="77"/>
      <c r="E775" s="77"/>
      <c r="F775" s="78"/>
      <c r="G775" s="214" t="s">
        <v>116</v>
      </c>
      <c r="H775" s="7" t="s">
        <v>453</v>
      </c>
      <c r="I775" s="148" t="s">
        <v>0</v>
      </c>
      <c r="J775" s="1">
        <f>J776+J777+J778</f>
        <v>7194292</v>
      </c>
      <c r="K775" s="1">
        <f>K776+K777+K778</f>
        <v>0</v>
      </c>
      <c r="L775" s="131">
        <f>L776+L777+L778</f>
        <v>7194292</v>
      </c>
      <c r="M775" s="131">
        <f>M776+M777+M778</f>
        <v>0</v>
      </c>
      <c r="N775" s="131">
        <f>N776+N777+N778</f>
        <v>5549045</v>
      </c>
      <c r="O775" s="175"/>
      <c r="P775" s="169"/>
    </row>
    <row r="776" spans="1:16" s="70" customFormat="1" ht="63">
      <c r="A776" s="67"/>
      <c r="B776" s="77"/>
      <c r="C776" s="77"/>
      <c r="D776" s="77"/>
      <c r="E776" s="77"/>
      <c r="F776" s="78"/>
      <c r="G776" s="214" t="s">
        <v>3</v>
      </c>
      <c r="H776" s="7" t="s">
        <v>117</v>
      </c>
      <c r="I776" s="148">
        <v>100</v>
      </c>
      <c r="J776" s="1">
        <v>5696705</v>
      </c>
      <c r="K776" s="1"/>
      <c r="L776" s="131">
        <f>K776+J776</f>
        <v>5696705</v>
      </c>
      <c r="M776" s="131"/>
      <c r="N776" s="131">
        <f>6032811-1398543-398315+502096+75509</f>
        <v>4813558</v>
      </c>
      <c r="O776" s="175"/>
      <c r="P776" s="169"/>
    </row>
    <row r="777" spans="1:16" s="70" customFormat="1" ht="31.5">
      <c r="A777" s="67"/>
      <c r="B777" s="77"/>
      <c r="C777" s="77"/>
      <c r="D777" s="77"/>
      <c r="E777" s="77"/>
      <c r="F777" s="78"/>
      <c r="G777" s="214" t="s">
        <v>2</v>
      </c>
      <c r="H777" s="7"/>
      <c r="I777" s="148">
        <v>200</v>
      </c>
      <c r="J777" s="1">
        <v>1496087</v>
      </c>
      <c r="K777" s="1"/>
      <c r="L777" s="131">
        <f>K777+J777</f>
        <v>1496087</v>
      </c>
      <c r="M777" s="131"/>
      <c r="N777" s="131">
        <f>1641780-374248-449890-82500</f>
        <v>735142</v>
      </c>
      <c r="O777" s="175"/>
      <c r="P777" s="169"/>
    </row>
    <row r="778" spans="1:16" s="70" customFormat="1" ht="15.75">
      <c r="A778" s="67"/>
      <c r="B778" s="77"/>
      <c r="C778" s="77"/>
      <c r="D778" s="77"/>
      <c r="E778" s="77"/>
      <c r="F778" s="78"/>
      <c r="G778" s="214" t="s">
        <v>1</v>
      </c>
      <c r="H778" s="7"/>
      <c r="I778" s="148">
        <v>800</v>
      </c>
      <c r="J778" s="1">
        <v>1500</v>
      </c>
      <c r="K778" s="1"/>
      <c r="L778" s="131">
        <f>K778+J778</f>
        <v>1500</v>
      </c>
      <c r="M778" s="131"/>
      <c r="N778" s="131">
        <f>1500-1155</f>
        <v>345</v>
      </c>
      <c r="O778" s="175"/>
      <c r="P778" s="169"/>
    </row>
    <row r="779" spans="1:16" ht="15.75">
      <c r="A779" s="13"/>
      <c r="B779" s="14"/>
      <c r="C779" s="14"/>
      <c r="D779" s="14"/>
      <c r="E779" s="14"/>
      <c r="F779" s="15"/>
      <c r="G779" s="227" t="s">
        <v>91</v>
      </c>
      <c r="H779" s="200"/>
      <c r="I779" s="200"/>
      <c r="J779" s="201" t="e">
        <f>J707+J692+J645+J613+J563+J522+J513+J496+J475+J349+J341+J300+J291+J260+J123+J12+J686+J608+J583+J328+J450+J250+J508+J540</f>
        <v>#REF!</v>
      </c>
      <c r="K779" s="5" t="e">
        <f>K707+K692+K645+K613+K563+K522+K513+K496+K475+K349+K341+K300+K291+K260+K123+K12+K686+K608+K583+K328+K450+K250+K508</f>
        <v>#REF!</v>
      </c>
      <c r="L779" s="133" t="e">
        <f>L707+L692+L645+L613+L563+L522+L513+L496+L475+L349+L341+L300+L291+L260+L123+L12+L686+L608+L583+L328+L450+L250+L508</f>
        <v>#REF!</v>
      </c>
      <c r="M779" s="133" t="e">
        <f>M707+M692+M645+M613+M563+M522+M513+M496+M475+M349+M341+M300+M291+M260+M123+M12+M686+M608+M583+M328+M450+M250+M508+M540</f>
        <v>#REF!</v>
      </c>
      <c r="N779" s="133">
        <f>N707+N692+N645+N613+N563+N522+N513+N496+N475+N349+N341+N300+N291+N260+N123+N12+N686+N608+N583+N328+N450+N250+N508+N540+N533</f>
        <v>656851205.2</v>
      </c>
      <c r="O779" s="178"/>
      <c r="P779" s="167"/>
    </row>
    <row r="780" spans="7:8" ht="12.75">
      <c r="G780" s="48"/>
      <c r="H780" s="204"/>
    </row>
    <row r="781" ht="12.75">
      <c r="G781" s="48"/>
    </row>
    <row r="782" spans="7:11" ht="12.75">
      <c r="G782" s="48"/>
      <c r="H782" s="202"/>
      <c r="I782" s="202"/>
      <c r="J782" s="202"/>
      <c r="K782" s="202"/>
    </row>
    <row r="783" spans="7:8" ht="12.75">
      <c r="G783" s="48"/>
      <c r="H783" s="202"/>
    </row>
    <row r="784" ht="12.75">
      <c r="H784" s="202"/>
    </row>
    <row r="785" ht="12.75">
      <c r="H785" s="202"/>
    </row>
    <row r="786" spans="9:14" ht="12.75">
      <c r="I786" s="32"/>
      <c r="J786" s="32"/>
      <c r="K786" s="32"/>
      <c r="L786" s="33"/>
      <c r="M786" s="33"/>
      <c r="N786" s="33"/>
    </row>
    <row r="787" spans="9:14" ht="12.75">
      <c r="I787" s="32"/>
      <c r="J787" s="32"/>
      <c r="K787" s="32"/>
      <c r="L787" s="33"/>
      <c r="M787" s="33"/>
      <c r="N787" s="33"/>
    </row>
    <row r="788" spans="9:14" ht="12.75">
      <c r="I788" s="32"/>
      <c r="J788" s="32"/>
      <c r="K788" s="32"/>
      <c r="L788" s="33"/>
      <c r="M788" s="33"/>
      <c r="N788" s="33"/>
    </row>
    <row r="789" spans="9:14" ht="12.75">
      <c r="I789" s="32"/>
      <c r="J789" s="32"/>
      <c r="K789" s="32"/>
      <c r="L789" s="33"/>
      <c r="M789" s="33"/>
      <c r="N789" s="33"/>
    </row>
    <row r="790" spans="9:14" ht="12.75">
      <c r="I790" s="32"/>
      <c r="J790" s="32"/>
      <c r="K790" s="32"/>
      <c r="L790" s="33"/>
      <c r="M790" s="33"/>
      <c r="N790" s="33"/>
    </row>
    <row r="791" spans="9:14" ht="12.75">
      <c r="I791" s="32"/>
      <c r="J791" s="32"/>
      <c r="K791" s="32"/>
      <c r="L791" s="33"/>
      <c r="M791" s="33"/>
      <c r="N791" s="33"/>
    </row>
    <row r="792" spans="9:14" ht="12.75">
      <c r="I792" s="32"/>
      <c r="J792" s="32"/>
      <c r="K792" s="32"/>
      <c r="L792" s="33"/>
      <c r="M792" s="33"/>
      <c r="N792" s="33"/>
    </row>
    <row r="793" spans="9:14" ht="12.75">
      <c r="I793" s="32"/>
      <c r="J793" s="32"/>
      <c r="K793" s="32"/>
      <c r="L793" s="33"/>
      <c r="M793" s="33"/>
      <c r="N793" s="33"/>
    </row>
    <row r="794" spans="9:14" ht="12.75">
      <c r="I794" s="32"/>
      <c r="J794" s="32"/>
      <c r="K794" s="32"/>
      <c r="L794" s="33"/>
      <c r="M794" s="33"/>
      <c r="N794" s="33"/>
    </row>
    <row r="795" spans="9:14" ht="12.75">
      <c r="I795" s="32"/>
      <c r="J795" s="32"/>
      <c r="K795" s="32"/>
      <c r="L795" s="33"/>
      <c r="M795" s="33"/>
      <c r="N795" s="33"/>
    </row>
    <row r="796" spans="9:14" ht="12.75">
      <c r="I796" s="32"/>
      <c r="J796" s="32"/>
      <c r="K796" s="32"/>
      <c r="L796" s="33"/>
      <c r="M796" s="33"/>
      <c r="N796" s="33"/>
    </row>
    <row r="797" spans="9:14" ht="12.75">
      <c r="I797" s="32"/>
      <c r="J797" s="32"/>
      <c r="K797" s="32"/>
      <c r="L797" s="33"/>
      <c r="M797" s="33"/>
      <c r="N797" s="33"/>
    </row>
    <row r="798" spans="9:14" ht="12.75">
      <c r="I798" s="34"/>
      <c r="J798" s="34"/>
      <c r="K798" s="34"/>
      <c r="L798" s="33"/>
      <c r="M798" s="33"/>
      <c r="N798" s="33"/>
    </row>
    <row r="799" spans="9:14" ht="12.75">
      <c r="I799" s="34"/>
      <c r="J799" s="34"/>
      <c r="K799" s="34"/>
      <c r="L799" s="33"/>
      <c r="M799" s="33"/>
      <c r="N799" s="33"/>
    </row>
    <row r="800" spans="9:14" ht="12.75">
      <c r="I800" s="34"/>
      <c r="J800" s="34"/>
      <c r="K800" s="34"/>
      <c r="L800" s="33"/>
      <c r="M800" s="33"/>
      <c r="N800" s="33"/>
    </row>
    <row r="801" spans="9:14" ht="12.75">
      <c r="I801" s="34"/>
      <c r="J801" s="34"/>
      <c r="K801" s="34"/>
      <c r="L801" s="33"/>
      <c r="M801" s="33"/>
      <c r="N801" s="33"/>
    </row>
    <row r="802" spans="9:14" ht="12.75">
      <c r="I802" s="34"/>
      <c r="J802" s="34"/>
      <c r="K802" s="34"/>
      <c r="L802" s="33"/>
      <c r="M802" s="33"/>
      <c r="N802" s="33"/>
    </row>
    <row r="803" spans="9:14" ht="12.75">
      <c r="I803" s="34"/>
      <c r="J803" s="34"/>
      <c r="K803" s="34"/>
      <c r="L803" s="33"/>
      <c r="M803" s="33"/>
      <c r="N803" s="33"/>
    </row>
    <row r="804" spans="9:14" ht="12.75">
      <c r="I804" s="34"/>
      <c r="J804" s="34"/>
      <c r="K804" s="34"/>
      <c r="L804" s="33"/>
      <c r="M804" s="33"/>
      <c r="N804" s="33"/>
    </row>
    <row r="805" spans="9:14" ht="12.75">
      <c r="I805" s="34"/>
      <c r="J805" s="34"/>
      <c r="K805" s="34"/>
      <c r="L805" s="33"/>
      <c r="M805" s="33"/>
      <c r="N805" s="33"/>
    </row>
    <row r="806" spans="9:14" ht="12.75">
      <c r="I806" s="34"/>
      <c r="J806" s="34"/>
      <c r="K806" s="34"/>
      <c r="L806" s="33"/>
      <c r="M806" s="33"/>
      <c r="N806" s="33"/>
    </row>
    <row r="807" spans="9:14" ht="12.75">
      <c r="I807" s="34"/>
      <c r="J807" s="34"/>
      <c r="K807" s="34"/>
      <c r="L807" s="33"/>
      <c r="M807" s="33"/>
      <c r="N807" s="33"/>
    </row>
    <row r="808" spans="9:14" ht="12.75">
      <c r="I808" s="34"/>
      <c r="J808" s="34"/>
      <c r="K808" s="34"/>
      <c r="L808" s="33"/>
      <c r="M808" s="33"/>
      <c r="N808" s="33"/>
    </row>
    <row r="809" spans="9:14" ht="12.75">
      <c r="I809" s="34"/>
      <c r="J809" s="34"/>
      <c r="K809" s="34"/>
      <c r="L809" s="33"/>
      <c r="M809" s="33"/>
      <c r="N809" s="33"/>
    </row>
    <row r="810" spans="9:14" ht="12.75">
      <c r="I810" s="34"/>
      <c r="J810" s="34"/>
      <c r="K810" s="34"/>
      <c r="L810" s="33"/>
      <c r="M810" s="33"/>
      <c r="N810" s="33"/>
    </row>
    <row r="811" spans="9:14" ht="12.75">
      <c r="I811" s="34"/>
      <c r="J811" s="34"/>
      <c r="K811" s="34"/>
      <c r="L811" s="33"/>
      <c r="M811" s="33"/>
      <c r="N811" s="33"/>
    </row>
    <row r="812" spans="9:14" ht="12.75">
      <c r="I812" s="34"/>
      <c r="J812" s="34"/>
      <c r="K812" s="34"/>
      <c r="L812" s="33"/>
      <c r="M812" s="33"/>
      <c r="N812" s="33"/>
    </row>
    <row r="813" spans="9:14" ht="12.75">
      <c r="I813" s="34"/>
      <c r="J813" s="34"/>
      <c r="K813" s="34"/>
      <c r="L813" s="33"/>
      <c r="M813" s="33"/>
      <c r="N813" s="33"/>
    </row>
    <row r="814" spans="9:14" ht="12.75">
      <c r="I814" s="34"/>
      <c r="J814" s="34"/>
      <c r="K814" s="34"/>
      <c r="L814" s="33"/>
      <c r="M814" s="33"/>
      <c r="N814" s="33"/>
    </row>
    <row r="815" spans="12:14" ht="12.75">
      <c r="L815" s="33"/>
      <c r="M815" s="33"/>
      <c r="N815" s="33"/>
    </row>
    <row r="816" spans="12:14" ht="12.75">
      <c r="L816" s="33"/>
      <c r="M816" s="33"/>
      <c r="N816" s="33"/>
    </row>
  </sheetData>
  <sheetProtection/>
  <mergeCells count="115">
    <mergeCell ref="H5:N5"/>
    <mergeCell ref="H4:N4"/>
    <mergeCell ref="B367:F367"/>
    <mergeCell ref="B172:F172"/>
    <mergeCell ref="I1:P1"/>
    <mergeCell ref="B359:F359"/>
    <mergeCell ref="B363:F363"/>
    <mergeCell ref="B95:F95"/>
    <mergeCell ref="B158:F158"/>
    <mergeCell ref="B136:F136"/>
    <mergeCell ref="B222:F222"/>
    <mergeCell ref="B98:F98"/>
    <mergeCell ref="B378:F378"/>
    <mergeCell ref="B398:F398"/>
    <mergeCell ref="B368:F368"/>
    <mergeCell ref="B365:F365"/>
    <mergeCell ref="B344:F344"/>
    <mergeCell ref="B389:F389"/>
    <mergeCell ref="B396:F396"/>
    <mergeCell ref="B160:F160"/>
    <mergeCell ref="B354:F354"/>
    <mergeCell ref="H2:P2"/>
    <mergeCell ref="B68:F68"/>
    <mergeCell ref="B70:F70"/>
    <mergeCell ref="B69:F69"/>
    <mergeCell ref="B13:F13"/>
    <mergeCell ref="B217:F217"/>
    <mergeCell ref="B177:F177"/>
    <mergeCell ref="B74:F74"/>
    <mergeCell ref="B218:F218"/>
    <mergeCell ref="B707:F707"/>
    <mergeCell ref="B642:F642"/>
    <mergeCell ref="B645:F645"/>
    <mergeCell ref="B702:F702"/>
    <mergeCell ref="B701:F701"/>
    <mergeCell ref="B661:F661"/>
    <mergeCell ref="B644:F644"/>
    <mergeCell ref="B693:F693"/>
    <mergeCell ref="B692:F692"/>
    <mergeCell ref="B641:F641"/>
    <mergeCell ref="B646:F646"/>
    <mergeCell ref="B643:F643"/>
    <mergeCell ref="B620:F620"/>
    <mergeCell ref="B578:F578"/>
    <mergeCell ref="B402:F402"/>
    <mergeCell ref="B497:F497"/>
    <mergeCell ref="B608:F608"/>
    <mergeCell ref="B517:F517"/>
    <mergeCell ref="B480:F480"/>
    <mergeCell ref="B617:F617"/>
    <mergeCell ref="B566:F566"/>
    <mergeCell ref="B567:F567"/>
    <mergeCell ref="B609:F609"/>
    <mergeCell ref="B476:F476"/>
    <mergeCell ref="B614:F614"/>
    <mergeCell ref="B496:F496"/>
    <mergeCell ref="B563:F563"/>
    <mergeCell ref="B612:F612"/>
    <mergeCell ref="B611:F611"/>
    <mergeCell ref="B379:F379"/>
    <mergeCell ref="B303:F303"/>
    <mergeCell ref="B616:F616"/>
    <mergeCell ref="B513:F513"/>
    <mergeCell ref="B514:F514"/>
    <mergeCell ref="B576:F576"/>
    <mergeCell ref="B475:F475"/>
    <mergeCell ref="B483:F483"/>
    <mergeCell ref="B482:F482"/>
    <mergeCell ref="B393:F393"/>
    <mergeCell ref="B613:F613"/>
    <mergeCell ref="B564:F564"/>
    <mergeCell ref="B364:F364"/>
    <mergeCell ref="B366:F366"/>
    <mergeCell ref="B342:F342"/>
    <mergeCell ref="B79:F79"/>
    <mergeCell ref="B341:F341"/>
    <mergeCell ref="B143:F143"/>
    <mergeCell ref="B99:F99"/>
    <mergeCell ref="B223:F223"/>
    <mergeCell ref="B140:F140"/>
    <mergeCell ref="B137:F137"/>
    <mergeCell ref="B358:F358"/>
    <mergeCell ref="B345:F345"/>
    <mergeCell ref="B349:F349"/>
    <mergeCell ref="B357:F357"/>
    <mergeCell ref="B356:F356"/>
    <mergeCell ref="B355:F355"/>
    <mergeCell ref="B167:F167"/>
    <mergeCell ref="B166:F166"/>
    <mergeCell ref="B145:F145"/>
    <mergeCell ref="B161:F161"/>
    <mergeCell ref="B169:F169"/>
    <mergeCell ref="B170:F170"/>
    <mergeCell ref="B153:F153"/>
    <mergeCell ref="B168:F168"/>
    <mergeCell ref="H6:N6"/>
    <mergeCell ref="H3:N3"/>
    <mergeCell ref="G7:P7"/>
    <mergeCell ref="B142:F142"/>
    <mergeCell ref="B82:F82"/>
    <mergeCell ref="B141:F141"/>
    <mergeCell ref="B81:F81"/>
    <mergeCell ref="B12:F12"/>
    <mergeCell ref="B85:F85"/>
    <mergeCell ref="B83:F83"/>
    <mergeCell ref="B304:F304"/>
    <mergeCell ref="B72:F72"/>
    <mergeCell ref="B73:F73"/>
    <mergeCell ref="B78:F78"/>
    <mergeCell ref="B77:F77"/>
    <mergeCell ref="B126:F126"/>
    <mergeCell ref="B134:F134"/>
    <mergeCell ref="B227:F227"/>
    <mergeCell ref="B146:F146"/>
    <mergeCell ref="B226:F226"/>
  </mergeCells>
  <printOptions horizontalCentered="1"/>
  <pageMargins left="0.5905511811023623" right="0.1968503937007874" top="0.7874015748031497" bottom="0.3937007874015748" header="0.5118110236220472" footer="0.5118110236220472"/>
  <pageSetup horizontalDpi="600" verticalDpi="600" orientation="portrait" paperSize="9" scale="70" r:id="rId1"/>
  <headerFooter differentFirst="1" scaleWithDoc="0">
    <oddHeader>&amp;C&amp;P</oddHeader>
  </headerFooter>
  <rowBreaks count="1" manualBreakCount="1">
    <brk id="745" min="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User1</cp:lastModifiedBy>
  <cp:lastPrinted>2023-04-12T12:12:32Z</cp:lastPrinted>
  <dcterms:created xsi:type="dcterms:W3CDTF">2013-10-18T09:34:20Z</dcterms:created>
  <dcterms:modified xsi:type="dcterms:W3CDTF">2023-04-12T13:10:44Z</dcterms:modified>
  <cp:category/>
  <cp:version/>
  <cp:contentType/>
  <cp:contentStatus/>
</cp:coreProperties>
</file>