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840" windowWidth="15600" windowHeight="10130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'!$11:$11</definedName>
    <definedName name="_xlnm.Print_Area" localSheetId="1">'Приложение 6 '!$G$1:$R$723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8" i="2" l="1"/>
  <c r="Q716" i="2"/>
  <c r="Q712" i="2"/>
  <c r="Q710" i="2"/>
  <c r="Q704" i="2"/>
  <c r="Q701" i="2" s="1"/>
  <c r="Q700" i="2" s="1"/>
  <c r="Q702" i="2"/>
  <c r="O683" i="2"/>
  <c r="Q643" i="2"/>
  <c r="O643" i="2"/>
  <c r="Q654" i="2"/>
  <c r="O654" i="2"/>
  <c r="Q697" i="2"/>
  <c r="Q694" i="2"/>
  <c r="Q685" i="2"/>
  <c r="Q682" i="2"/>
  <c r="Q677" i="2"/>
  <c r="Q675" i="2"/>
  <c r="Q672" i="2"/>
  <c r="Q667" i="2"/>
  <c r="Q663" i="2"/>
  <c r="Q660" i="2"/>
  <c r="Q659" i="2" s="1"/>
  <c r="Q658" i="2" s="1"/>
  <c r="Q657" i="2" s="1"/>
  <c r="Q655" i="2"/>
  <c r="Q652" i="2"/>
  <c r="Q649" i="2" s="1"/>
  <c r="Q640" i="2"/>
  <c r="Q639" i="2" s="1"/>
  <c r="Q636" i="2"/>
  <c r="Q635" i="2" s="1"/>
  <c r="Q632" i="2"/>
  <c r="Q630" i="2"/>
  <c r="Q628" i="2"/>
  <c r="Q626" i="2"/>
  <c r="Q624" i="2"/>
  <c r="Q622" i="2"/>
  <c r="Q620" i="2"/>
  <c r="Q618" i="2"/>
  <c r="Q616" i="2"/>
  <c r="Q611" i="2"/>
  <c r="Q610" i="2" s="1"/>
  <c r="Q609" i="2" s="1"/>
  <c r="Q608" i="2" s="1"/>
  <c r="Q600" i="2"/>
  <c r="Q599" i="2" s="1"/>
  <c r="Q598" i="2" s="1"/>
  <c r="Q592" i="2"/>
  <c r="Q591" i="2" s="1"/>
  <c r="Q590" i="2" s="1"/>
  <c r="Q582" i="2"/>
  <c r="Q581" i="2" s="1"/>
  <c r="Q580" i="2" s="1"/>
  <c r="Q574" i="2"/>
  <c r="Q572" i="2"/>
  <c r="Q559" i="2"/>
  <c r="Q558" i="2" s="1"/>
  <c r="Q554" i="2"/>
  <c r="Q543" i="2"/>
  <c r="Q528" i="2"/>
  <c r="Q527" i="2" s="1"/>
  <c r="Q526" i="2" s="1"/>
  <c r="Q512" i="2"/>
  <c r="Q511" i="2" s="1"/>
  <c r="Q510" i="2" s="1"/>
  <c r="Q508" i="2"/>
  <c r="Q507" i="2" s="1"/>
  <c r="Q506" i="2" s="1"/>
  <c r="Q498" i="2"/>
  <c r="Q497" i="2" s="1"/>
  <c r="Q496" i="2" s="1"/>
  <c r="Q495" i="2" s="1"/>
  <c r="Q480" i="2"/>
  <c r="Q479" i="2" s="1"/>
  <c r="Q478" i="2" s="1"/>
  <c r="Q476" i="2"/>
  <c r="Q475" i="2" s="1"/>
  <c r="Q474" i="2" s="1"/>
  <c r="Q472" i="2"/>
  <c r="Q471" i="2" s="1"/>
  <c r="Q470" i="2" s="1"/>
  <c r="Q467" i="2"/>
  <c r="Q466" i="2" s="1"/>
  <c r="Q465" i="2" s="1"/>
  <c r="Q462" i="2"/>
  <c r="Q461" i="2" s="1"/>
  <c r="Q460" i="2" s="1"/>
  <c r="Q459" i="2" s="1"/>
  <c r="Q455" i="2"/>
  <c r="Q454" i="2" s="1"/>
  <c r="Q452" i="2"/>
  <c r="Q451" i="2" s="1"/>
  <c r="Q447" i="2"/>
  <c r="Q446" i="2" s="1"/>
  <c r="Q445" i="2" s="1"/>
  <c r="Q444" i="2" s="1"/>
  <c r="Q438" i="2"/>
  <c r="Q436" i="2"/>
  <c r="Q433" i="2"/>
  <c r="Q432" i="2" s="1"/>
  <c r="Q431" i="2" s="1"/>
  <c r="Q430" i="2" s="1"/>
  <c r="Q424" i="2"/>
  <c r="Q423" i="2" s="1"/>
  <c r="Q422" i="2" s="1"/>
  <c r="Q421" i="2" s="1"/>
  <c r="Q418" i="2"/>
  <c r="Q417" i="2" s="1"/>
  <c r="Q416" i="2" s="1"/>
  <c r="Q414" i="2"/>
  <c r="Q400" i="2"/>
  <c r="Q397" i="2"/>
  <c r="Q395" i="2"/>
  <c r="Q391" i="2"/>
  <c r="Q388" i="2"/>
  <c r="Q382" i="2"/>
  <c r="Q381" i="2" s="1"/>
  <c r="Q379" i="2"/>
  <c r="Q377" i="2"/>
  <c r="Q375" i="2"/>
  <c r="Q371" i="2"/>
  <c r="Q368" i="2"/>
  <c r="Q365" i="2"/>
  <c r="Q362" i="2"/>
  <c r="Q354" i="2"/>
  <c r="Q351" i="2"/>
  <c r="Q349" i="2"/>
  <c r="Q347" i="2"/>
  <c r="Q342" i="2"/>
  <c r="Q333" i="2"/>
  <c r="Q330" i="2"/>
  <c r="Q326" i="2"/>
  <c r="Q320" i="2"/>
  <c r="Q315" i="2"/>
  <c r="Q313" i="2"/>
  <c r="Q310" i="2"/>
  <c r="Q309" i="2" s="1"/>
  <c r="Q308" i="2" s="1"/>
  <c r="Q306" i="2"/>
  <c r="Q305" i="2" s="1"/>
  <c r="Q304" i="2" s="1"/>
  <c r="Q301" i="2"/>
  <c r="Q300" i="2" s="1"/>
  <c r="Q299" i="2" s="1"/>
  <c r="Q298" i="2" s="1"/>
  <c r="Q294" i="2"/>
  <c r="Q290" i="2"/>
  <c r="Q287" i="2"/>
  <c r="Q283" i="2"/>
  <c r="Q282" i="2" s="1"/>
  <c r="Q272" i="2"/>
  <c r="Q271" i="2" s="1"/>
  <c r="Q270" i="2" s="1"/>
  <c r="Q269" i="2" s="1"/>
  <c r="Q265" i="2"/>
  <c r="Q260" i="2"/>
  <c r="Q259" i="2" s="1"/>
  <c r="Q258" i="2" s="1"/>
  <c r="Q257" i="2" s="1"/>
  <c r="Q251" i="2"/>
  <c r="Q250" i="2" s="1"/>
  <c r="Q249" i="2" s="1"/>
  <c r="Q248" i="2" s="1"/>
  <c r="Q239" i="2"/>
  <c r="Q234" i="2"/>
  <c r="Q232" i="2"/>
  <c r="Q229" i="2"/>
  <c r="Q224" i="2"/>
  <c r="Q222" i="2"/>
  <c r="Q219" i="2"/>
  <c r="Q218" i="2" s="1"/>
  <c r="Q214" i="2"/>
  <c r="Q211" i="2" s="1"/>
  <c r="Q212" i="2"/>
  <c r="Q209" i="2"/>
  <c r="Q207" i="2"/>
  <c r="Q203" i="2"/>
  <c r="Q201" i="2"/>
  <c r="Q198" i="2"/>
  <c r="Q196" i="2"/>
  <c r="Q193" i="2"/>
  <c r="Q187" i="2"/>
  <c r="Q185" i="2"/>
  <c r="Q181" i="2"/>
  <c r="Q173" i="2"/>
  <c r="Q171" i="2"/>
  <c r="Q167" i="2"/>
  <c r="Q164" i="2"/>
  <c r="Q160" i="2"/>
  <c r="Q156" i="2"/>
  <c r="Q154" i="2"/>
  <c r="Q709" i="2" l="1"/>
  <c r="Q708" i="2" s="1"/>
  <c r="Q662" i="2"/>
  <c r="Q634" i="2"/>
  <c r="Q615" i="2"/>
  <c r="Q614" i="2" s="1"/>
  <c r="Q597" i="2"/>
  <c r="Q579" i="2"/>
  <c r="Q571" i="2"/>
  <c r="Q557" i="2" s="1"/>
  <c r="Q542" i="2"/>
  <c r="Q541" i="2" s="1"/>
  <c r="Q540" i="2" s="1"/>
  <c r="Q228" i="2"/>
  <c r="Q227" i="2" s="1"/>
  <c r="Q226" i="2" s="1"/>
  <c r="Q399" i="2"/>
  <c r="Q500" i="2"/>
  <c r="Q435" i="2"/>
  <c r="Q464" i="2"/>
  <c r="Q450" i="2"/>
  <c r="Q449" i="2" s="1"/>
  <c r="Q390" i="2"/>
  <c r="Q325" i="2"/>
  <c r="Q312" i="2"/>
  <c r="Q303" i="2"/>
  <c r="Q286" i="2"/>
  <c r="Q281" i="2"/>
  <c r="Q280" i="2" s="1"/>
  <c r="Q195" i="2"/>
  <c r="Q221" i="2"/>
  <c r="Q153" i="2"/>
  <c r="Q147" i="2"/>
  <c r="O147" i="2"/>
  <c r="Q141" i="2"/>
  <c r="Q118" i="2"/>
  <c r="Q117" i="2" s="1"/>
  <c r="Q116" i="2" s="1"/>
  <c r="Q115" i="2" s="1"/>
  <c r="Q95" i="2"/>
  <c r="Q93" i="2"/>
  <c r="Q42" i="2" s="1"/>
  <c r="R102" i="2"/>
  <c r="Q37" i="2"/>
  <c r="Q31" i="2"/>
  <c r="Q26" i="2"/>
  <c r="Q25" i="2" s="1"/>
  <c r="Q24" i="2" s="1"/>
  <c r="Q21" i="2"/>
  <c r="Q20" i="2" s="1"/>
  <c r="R715" i="2"/>
  <c r="R713" i="2"/>
  <c r="R707" i="2"/>
  <c r="R706" i="2"/>
  <c r="R699" i="2"/>
  <c r="R698" i="2"/>
  <c r="R696" i="2"/>
  <c r="R695" i="2"/>
  <c r="R693" i="2"/>
  <c r="R691" i="2"/>
  <c r="R688" i="2"/>
  <c r="R686" i="2"/>
  <c r="R684" i="2"/>
  <c r="R680" i="2"/>
  <c r="R671" i="2"/>
  <c r="R670" i="2"/>
  <c r="R669" i="2"/>
  <c r="R668" i="2"/>
  <c r="R666" i="2"/>
  <c r="R664" i="2"/>
  <c r="R661" i="2"/>
  <c r="R653" i="2"/>
  <c r="R651" i="2"/>
  <c r="R650" i="2"/>
  <c r="R648" i="2"/>
  <c r="R647" i="2"/>
  <c r="R646" i="2"/>
  <c r="R645" i="2"/>
  <c r="R644" i="2"/>
  <c r="R641" i="2"/>
  <c r="R631" i="2"/>
  <c r="R629" i="2"/>
  <c r="R627" i="2"/>
  <c r="R625" i="2"/>
  <c r="R623" i="2"/>
  <c r="R621" i="2"/>
  <c r="R619" i="2"/>
  <c r="R617" i="2"/>
  <c r="R605" i="2"/>
  <c r="R604" i="2"/>
  <c r="R603" i="2"/>
  <c r="R602" i="2"/>
  <c r="R594" i="2"/>
  <c r="R589" i="2"/>
  <c r="R587" i="2"/>
  <c r="R585" i="2"/>
  <c r="R584" i="2"/>
  <c r="R578" i="2"/>
  <c r="R575" i="2"/>
  <c r="R570" i="2"/>
  <c r="R568" i="2"/>
  <c r="R566" i="2"/>
  <c r="R563" i="2"/>
  <c r="R561" i="2"/>
  <c r="R560" i="2"/>
  <c r="R553" i="2"/>
  <c r="R551" i="2"/>
  <c r="R546" i="2"/>
  <c r="R539" i="2"/>
  <c r="R538" i="2"/>
  <c r="R537" i="2"/>
  <c r="R536" i="2"/>
  <c r="R535" i="2"/>
  <c r="R534" i="2"/>
  <c r="R533" i="2"/>
  <c r="R532" i="2"/>
  <c r="R531" i="2"/>
  <c r="R530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09" i="2"/>
  <c r="R505" i="2"/>
  <c r="R504" i="2"/>
  <c r="R503" i="2"/>
  <c r="R502" i="2"/>
  <c r="R501" i="2"/>
  <c r="R494" i="2"/>
  <c r="R489" i="2"/>
  <c r="R488" i="2"/>
  <c r="R487" i="2"/>
  <c r="R486" i="2"/>
  <c r="R481" i="2"/>
  <c r="R477" i="2"/>
  <c r="R469" i="2"/>
  <c r="R463" i="2"/>
  <c r="R458" i="2"/>
  <c r="R457" i="2"/>
  <c r="R448" i="2"/>
  <c r="R441" i="2"/>
  <c r="R439" i="2"/>
  <c r="R437" i="2"/>
  <c r="R434" i="2"/>
  <c r="R429" i="2"/>
  <c r="R428" i="2"/>
  <c r="R427" i="2"/>
  <c r="R426" i="2"/>
  <c r="R425" i="2"/>
  <c r="R419" i="2"/>
  <c r="R415" i="2"/>
  <c r="R413" i="2"/>
  <c r="R409" i="2"/>
  <c r="R408" i="2"/>
  <c r="R407" i="2"/>
  <c r="R406" i="2"/>
  <c r="R405" i="2"/>
  <c r="R404" i="2"/>
  <c r="R403" i="2"/>
  <c r="R402" i="2"/>
  <c r="R394" i="2"/>
  <c r="R389" i="2"/>
  <c r="R387" i="2"/>
  <c r="R385" i="2"/>
  <c r="R383" i="2"/>
  <c r="R380" i="2"/>
  <c r="R378" i="2"/>
  <c r="R376" i="2"/>
  <c r="R374" i="2"/>
  <c r="R373" i="2"/>
  <c r="R372" i="2"/>
  <c r="R370" i="2"/>
  <c r="R369" i="2"/>
  <c r="R367" i="2"/>
  <c r="R366" i="2"/>
  <c r="R364" i="2"/>
  <c r="R363" i="2"/>
  <c r="R361" i="2"/>
  <c r="R360" i="2"/>
  <c r="R359" i="2"/>
  <c r="R358" i="2"/>
  <c r="R357" i="2"/>
  <c r="R356" i="2"/>
  <c r="R355" i="2"/>
  <c r="R353" i="2"/>
  <c r="R352" i="2"/>
  <c r="R346" i="2"/>
  <c r="R345" i="2"/>
  <c r="R344" i="2"/>
  <c r="R343" i="2"/>
  <c r="R341" i="2"/>
  <c r="R340" i="2"/>
  <c r="R338" i="2"/>
  <c r="R337" i="2"/>
  <c r="R335" i="2"/>
  <c r="R334" i="2"/>
  <c r="R329" i="2"/>
  <c r="R328" i="2"/>
  <c r="R327" i="2"/>
  <c r="R321" i="2"/>
  <c r="R319" i="2"/>
  <c r="R318" i="2"/>
  <c r="R317" i="2"/>
  <c r="R316" i="2"/>
  <c r="R314" i="2"/>
  <c r="R311" i="2"/>
  <c r="R307" i="2"/>
  <c r="R302" i="2"/>
  <c r="R293" i="2"/>
  <c r="R292" i="2"/>
  <c r="R291" i="2"/>
  <c r="R289" i="2"/>
  <c r="R288" i="2"/>
  <c r="R284" i="2"/>
  <c r="R279" i="2"/>
  <c r="R278" i="2"/>
  <c r="R277" i="2"/>
  <c r="R276" i="2"/>
  <c r="R275" i="2"/>
  <c r="R274" i="2"/>
  <c r="R268" i="2"/>
  <c r="R267" i="2"/>
  <c r="R266" i="2"/>
  <c r="R264" i="2"/>
  <c r="R263" i="2"/>
  <c r="R261" i="2"/>
  <c r="R256" i="2"/>
  <c r="R255" i="2"/>
  <c r="R254" i="2"/>
  <c r="R253" i="2"/>
  <c r="R252" i="2"/>
  <c r="R245" i="2"/>
  <c r="R244" i="2"/>
  <c r="R243" i="2"/>
  <c r="R242" i="2"/>
  <c r="R241" i="2"/>
  <c r="R240" i="2"/>
  <c r="R237" i="2"/>
  <c r="R236" i="2"/>
  <c r="R235" i="2"/>
  <c r="R230" i="2"/>
  <c r="R225" i="2"/>
  <c r="R223" i="2"/>
  <c r="R220" i="2"/>
  <c r="R217" i="2"/>
  <c r="R215" i="2"/>
  <c r="R213" i="2"/>
  <c r="R194" i="2"/>
  <c r="R192" i="2"/>
  <c r="R190" i="2"/>
  <c r="R188" i="2"/>
  <c r="R186" i="2"/>
  <c r="R184" i="2"/>
  <c r="R182" i="2"/>
  <c r="R180" i="2"/>
  <c r="R178" i="2"/>
  <c r="R176" i="2"/>
  <c r="R175" i="2"/>
  <c r="R172" i="2"/>
  <c r="R170" i="2"/>
  <c r="R166" i="2"/>
  <c r="R163" i="2"/>
  <c r="R162" i="2"/>
  <c r="R159" i="2"/>
  <c r="R158" i="2"/>
  <c r="R149" i="2"/>
  <c r="R145" i="2"/>
  <c r="R143" i="2"/>
  <c r="R142" i="2"/>
  <c r="R139" i="2"/>
  <c r="R137" i="2"/>
  <c r="R133" i="2"/>
  <c r="R131" i="2"/>
  <c r="R128" i="2"/>
  <c r="R127" i="2"/>
  <c r="R126" i="2"/>
  <c r="R125" i="2"/>
  <c r="R124" i="2"/>
  <c r="R123" i="2"/>
  <c r="R122" i="2"/>
  <c r="R121" i="2"/>
  <c r="R120" i="2"/>
  <c r="R119" i="2"/>
  <c r="R114" i="2"/>
  <c r="R111" i="2"/>
  <c r="R107" i="2"/>
  <c r="R105" i="2"/>
  <c r="R97" i="2"/>
  <c r="R92" i="2"/>
  <c r="R90" i="2"/>
  <c r="R88" i="2"/>
  <c r="R86" i="2"/>
  <c r="R85" i="2"/>
  <c r="R84" i="2"/>
  <c r="R83" i="2"/>
  <c r="R82" i="2"/>
  <c r="R81" i="2"/>
  <c r="R80" i="2"/>
  <c r="R79" i="2"/>
  <c r="R77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46" i="2"/>
  <c r="R39" i="2"/>
  <c r="R38" i="2"/>
  <c r="R36" i="2"/>
  <c r="R35" i="2"/>
  <c r="R34" i="2"/>
  <c r="R33" i="2"/>
  <c r="R32" i="2"/>
  <c r="R27" i="2"/>
  <c r="R22" i="2"/>
  <c r="Q613" i="2" l="1"/>
  <c r="Q556" i="2"/>
  <c r="Q152" i="2"/>
  <c r="Q151" i="2" s="1"/>
  <c r="Q150" i="2" s="1"/>
  <c r="Q324" i="2"/>
  <c r="Q323" i="2" s="1"/>
  <c r="Q322" i="2" s="1"/>
  <c r="Q297" i="2"/>
  <c r="Q140" i="2"/>
  <c r="Q41" i="2"/>
  <c r="Q40" i="2" s="1"/>
  <c r="R49" i="2"/>
  <c r="Q30" i="2"/>
  <c r="Q29" i="2" s="1"/>
  <c r="Q23" i="2"/>
  <c r="Q19" i="2"/>
  <c r="O689" i="2"/>
  <c r="O573" i="2"/>
  <c r="R573" i="2" s="1"/>
  <c r="O601" i="2"/>
  <c r="R601" i="2" s="1"/>
  <c r="O607" i="2"/>
  <c r="R607" i="2" s="1"/>
  <c r="O606" i="2"/>
  <c r="R606" i="2" s="1"/>
  <c r="O679" i="2"/>
  <c r="R679" i="2" s="1"/>
  <c r="R678" i="2"/>
  <c r="O676" i="2"/>
  <c r="R676" i="2" s="1"/>
  <c r="R683" i="2"/>
  <c r="R393" i="2"/>
  <c r="R392" i="2"/>
  <c r="O714" i="2"/>
  <c r="R714" i="2" s="1"/>
  <c r="O51" i="2"/>
  <c r="R51" i="2" s="1"/>
  <c r="O48" i="2"/>
  <c r="R48" i="2" l="1"/>
  <c r="O47" i="2"/>
  <c r="Q28" i="2"/>
  <c r="Q18" i="2"/>
  <c r="O197" i="2"/>
  <c r="R197" i="2" s="1"/>
  <c r="O529" i="2"/>
  <c r="R529" i="2" s="1"/>
  <c r="O544" i="2"/>
  <c r="R544" i="2" s="1"/>
  <c r="O555" i="2"/>
  <c r="R555" i="2" s="1"/>
  <c r="O208" i="2"/>
  <c r="R208" i="2" s="1"/>
  <c r="O206" i="2"/>
  <c r="R206" i="2" s="1"/>
  <c r="O205" i="2"/>
  <c r="R205" i="2" s="1"/>
  <c r="O204" i="2"/>
  <c r="R204" i="2" s="1"/>
  <c r="O202" i="2"/>
  <c r="R202" i="2" s="1"/>
  <c r="O200" i="2"/>
  <c r="R200" i="2" s="1"/>
  <c r="O199" i="2"/>
  <c r="R199" i="2" s="1"/>
  <c r="Q12" i="2" l="1"/>
  <c r="O513" i="2"/>
  <c r="R513" i="2" s="1"/>
  <c r="O583" i="2" l="1"/>
  <c r="R583" i="2" s="1"/>
  <c r="O674" i="2"/>
  <c r="R674" i="2" s="1"/>
  <c r="O673" i="2"/>
  <c r="R673" i="2" s="1"/>
  <c r="O681" i="2"/>
  <c r="R681" i="2" s="1"/>
  <c r="O596" i="2"/>
  <c r="R596" i="2" s="1"/>
  <c r="O593" i="2"/>
  <c r="R593" i="2" s="1"/>
  <c r="O296" i="2"/>
  <c r="R296" i="2" s="1"/>
  <c r="O295" i="2"/>
  <c r="R295" i="2" s="1"/>
  <c r="O285" i="2"/>
  <c r="R285" i="2" s="1"/>
  <c r="O273" i="2"/>
  <c r="R273" i="2" s="1"/>
  <c r="O499" i="2" l="1"/>
  <c r="R499" i="2" s="1"/>
  <c r="O348" i="2"/>
  <c r="R348" i="2" s="1"/>
  <c r="O53" i="2"/>
  <c r="R53" i="2" s="1"/>
  <c r="O396" i="2" l="1"/>
  <c r="R396" i="2" s="1"/>
  <c r="O401" i="2"/>
  <c r="R401" i="2" s="1"/>
  <c r="O155" i="2"/>
  <c r="R155" i="2" s="1"/>
  <c r="O398" i="2"/>
  <c r="R398" i="2" s="1"/>
  <c r="O210" i="2"/>
  <c r="R210" i="2" s="1"/>
  <c r="O231" i="2"/>
  <c r="R231" i="2" s="1"/>
  <c r="O169" i="2"/>
  <c r="R169" i="2" s="1"/>
  <c r="O168" i="2"/>
  <c r="O174" i="2"/>
  <c r="R174" i="2" s="1"/>
  <c r="O165" i="2"/>
  <c r="R165" i="2" s="1"/>
  <c r="O161" i="2"/>
  <c r="R161" i="2" s="1"/>
  <c r="O157" i="2"/>
  <c r="R157" i="2" s="1"/>
  <c r="O420" i="2"/>
  <c r="R420" i="2" s="1"/>
  <c r="O350" i="2"/>
  <c r="R350" i="2" s="1"/>
  <c r="O146" i="2"/>
  <c r="O99" i="2"/>
  <c r="R99" i="2" s="1"/>
  <c r="O44" i="2"/>
  <c r="R44" i="2" s="1"/>
  <c r="O54" i="2"/>
  <c r="R54" i="2" s="1"/>
  <c r="O687" i="2"/>
  <c r="R687" i="2" s="1"/>
  <c r="O612" i="2"/>
  <c r="R612" i="2" s="1"/>
  <c r="O595" i="2"/>
  <c r="R595" i="2" s="1"/>
  <c r="O453" i="2"/>
  <c r="R453" i="2" s="1"/>
  <c r="R168" i="2" l="1"/>
  <c r="O167" i="2"/>
  <c r="R146" i="2"/>
  <c r="O144" i="2"/>
  <c r="O528" i="2"/>
  <c r="O600" i="2"/>
  <c r="R600" i="2" s="1"/>
  <c r="O637" i="2"/>
  <c r="R637" i="2" s="1"/>
  <c r="O667" i="2"/>
  <c r="R667" i="2" s="1"/>
  <c r="O436" i="2"/>
  <c r="R436" i="2" s="1"/>
  <c r="O313" i="2"/>
  <c r="R313" i="2" s="1"/>
  <c r="O287" i="2"/>
  <c r="R287" i="2" s="1"/>
  <c r="O141" i="2"/>
  <c r="R141" i="2" s="1"/>
  <c r="O527" i="2" l="1"/>
  <c r="R528" i="2"/>
  <c r="O620" i="2"/>
  <c r="R620" i="2" s="1"/>
  <c r="O554" i="2"/>
  <c r="R554" i="2" s="1"/>
  <c r="O440" i="2"/>
  <c r="R440" i="2" s="1"/>
  <c r="R331" i="2"/>
  <c r="O203" i="2"/>
  <c r="R203" i="2" s="1"/>
  <c r="O526" i="2" l="1"/>
  <c r="R526" i="2" s="1"/>
  <c r="R527" i="2"/>
  <c r="O682" i="2"/>
  <c r="R682" i="2" s="1"/>
  <c r="O624" i="2"/>
  <c r="R624" i="2" s="1"/>
  <c r="O414" i="2"/>
  <c r="R414" i="2" s="1"/>
  <c r="O193" i="2"/>
  <c r="R193" i="2" s="1"/>
  <c r="R147" i="2"/>
  <c r="O185" i="2" l="1"/>
  <c r="R185" i="2" s="1"/>
  <c r="O320" i="2"/>
  <c r="R320" i="2" s="1"/>
  <c r="O628" i="2"/>
  <c r="R628" i="2" s="1"/>
  <c r="O473" i="2" l="1"/>
  <c r="R473" i="2" s="1"/>
  <c r="O468" i="2"/>
  <c r="R468" i="2" s="1"/>
  <c r="O633" i="2"/>
  <c r="R633" i="2" s="1"/>
  <c r="O442" i="2"/>
  <c r="R442" i="2" s="1"/>
  <c r="O262" i="2"/>
  <c r="R262" i="2" s="1"/>
  <c r="O438" i="2" l="1"/>
  <c r="O435" i="2" s="1"/>
  <c r="R435" i="2" s="1"/>
  <c r="O632" i="2"/>
  <c r="R632" i="2" s="1"/>
  <c r="O630" i="2"/>
  <c r="R630" i="2" s="1"/>
  <c r="O37" i="2"/>
  <c r="R37" i="2" s="1"/>
  <c r="R438" i="2" l="1"/>
  <c r="O711" i="2"/>
  <c r="R711" i="2" s="1"/>
  <c r="R332" i="2"/>
  <c r="O656" i="2" l="1"/>
  <c r="R656" i="2" s="1"/>
  <c r="O315" i="2" l="1"/>
  <c r="O312" i="2" l="1"/>
  <c r="R312" i="2" s="1"/>
  <c r="R315" i="2"/>
  <c r="O677" i="2"/>
  <c r="R677" i="2" s="1"/>
  <c r="O592" i="2"/>
  <c r="R592" i="2" s="1"/>
  <c r="O247" i="2"/>
  <c r="R247" i="2" s="1"/>
  <c r="O246" i="2"/>
  <c r="O238" i="2"/>
  <c r="O233" i="2"/>
  <c r="R233" i="2" s="1"/>
  <c r="O239" i="2" l="1"/>
  <c r="R239" i="2" s="1"/>
  <c r="R246" i="2"/>
  <c r="O234" i="2"/>
  <c r="R234" i="2" s="1"/>
  <c r="R238" i="2"/>
  <c r="O456" i="2"/>
  <c r="R456" i="2" s="1"/>
  <c r="O94" i="2" l="1"/>
  <c r="R94" i="2" s="1"/>
  <c r="O164" i="2" l="1"/>
  <c r="R164" i="2" s="1"/>
  <c r="O138" i="2" l="1"/>
  <c r="R138" i="2" s="1"/>
  <c r="O418" i="2" l="1"/>
  <c r="O417" i="2" l="1"/>
  <c r="R418" i="2"/>
  <c r="O386" i="2"/>
  <c r="R386" i="2" s="1"/>
  <c r="O588" i="2"/>
  <c r="R588" i="2" s="1"/>
  <c r="O416" i="2" l="1"/>
  <c r="R416" i="2" s="1"/>
  <c r="R417" i="2"/>
  <c r="O87" i="2"/>
  <c r="R87" i="2" s="1"/>
  <c r="O485" i="2" l="1"/>
  <c r="O484" i="2" l="1"/>
  <c r="R485" i="2"/>
  <c r="O21" i="2"/>
  <c r="O379" i="2"/>
  <c r="R379" i="2" s="1"/>
  <c r="O179" i="2"/>
  <c r="R179" i="2" s="1"/>
  <c r="O177" i="2"/>
  <c r="R177" i="2" s="1"/>
  <c r="O483" i="2" l="1"/>
  <c r="R484" i="2"/>
  <c r="O20" i="2"/>
  <c r="R21" i="2"/>
  <c r="O685" i="2"/>
  <c r="R685" i="2" s="1"/>
  <c r="O550" i="2"/>
  <c r="R550" i="2" s="1"/>
  <c r="O552" i="2"/>
  <c r="R552" i="2" s="1"/>
  <c r="O89" i="2"/>
  <c r="R89" i="2" s="1"/>
  <c r="O91" i="2"/>
  <c r="R91" i="2" s="1"/>
  <c r="O482" i="2" l="1"/>
  <c r="R482" i="2" s="1"/>
  <c r="R483" i="2"/>
  <c r="O19" i="2"/>
  <c r="R20" i="2"/>
  <c r="O549" i="2"/>
  <c r="O548" i="2" l="1"/>
  <c r="R549" i="2"/>
  <c r="O18" i="2"/>
  <c r="R18" i="2" s="1"/>
  <c r="R19" i="2"/>
  <c r="O577" i="2"/>
  <c r="O113" i="2"/>
  <c r="O96" i="2"/>
  <c r="R96" i="2" s="1"/>
  <c r="O98" i="2"/>
  <c r="R98" i="2" s="1"/>
  <c r="O112" i="2" l="1"/>
  <c r="R112" i="2" s="1"/>
  <c r="R113" i="2"/>
  <c r="O576" i="2"/>
  <c r="R576" i="2" s="1"/>
  <c r="R577" i="2"/>
  <c r="O547" i="2"/>
  <c r="R547" i="2" s="1"/>
  <c r="R548" i="2"/>
  <c r="O95" i="2"/>
  <c r="R95" i="2" s="1"/>
  <c r="O498" i="2"/>
  <c r="O618" i="2"/>
  <c r="R618" i="2" s="1"/>
  <c r="R47" i="2"/>
  <c r="O572" i="2"/>
  <c r="R572" i="2" s="1"/>
  <c r="O574" i="2"/>
  <c r="R574" i="2" s="1"/>
  <c r="O222" i="2"/>
  <c r="R222" i="2" s="1"/>
  <c r="O224" i="2"/>
  <c r="R224" i="2" s="1"/>
  <c r="O110" i="2"/>
  <c r="O497" i="2" l="1"/>
  <c r="R498" i="2"/>
  <c r="O109" i="2"/>
  <c r="R110" i="2"/>
  <c r="O221" i="2"/>
  <c r="R221" i="2" s="1"/>
  <c r="O571" i="2"/>
  <c r="R571" i="2" s="1"/>
  <c r="O136" i="2"/>
  <c r="R136" i="2" s="1"/>
  <c r="O496" i="2" l="1"/>
  <c r="R497" i="2"/>
  <c r="O140" i="2"/>
  <c r="R140" i="2" s="1"/>
  <c r="R144" i="2"/>
  <c r="O108" i="2"/>
  <c r="R108" i="2" s="1"/>
  <c r="R109" i="2"/>
  <c r="O135" i="2"/>
  <c r="R135" i="2" s="1"/>
  <c r="O636" i="2"/>
  <c r="R636" i="2" s="1"/>
  <c r="O495" i="2" l="1"/>
  <c r="R495" i="2" s="1"/>
  <c r="R496" i="2"/>
  <c r="O219" i="2"/>
  <c r="O216" i="2"/>
  <c r="R216" i="2" s="1"/>
  <c r="O218" i="2" l="1"/>
  <c r="R218" i="2" s="1"/>
  <c r="R219" i="2"/>
  <c r="O384" i="2"/>
  <c r="R384" i="2" s="1"/>
  <c r="O93" i="2" l="1"/>
  <c r="R93" i="2" s="1"/>
  <c r="O326" i="2" l="1"/>
  <c r="R326" i="2" s="1"/>
  <c r="O397" i="2" l="1"/>
  <c r="R397" i="2" s="1"/>
  <c r="O586" i="2"/>
  <c r="R586" i="2" s="1"/>
  <c r="O101" i="2"/>
  <c r="O100" i="2" l="1"/>
  <c r="R100" i="2" s="1"/>
  <c r="R101" i="2"/>
  <c r="O565" i="2"/>
  <c r="R565" i="2" s="1"/>
  <c r="O692" i="2" l="1"/>
  <c r="R692" i="2" s="1"/>
  <c r="O690" i="2" l="1"/>
  <c r="R690" i="2" s="1"/>
  <c r="O76" i="2"/>
  <c r="R76" i="2" s="1"/>
  <c r="O191" i="2"/>
  <c r="R191" i="2" s="1"/>
  <c r="O189" i="2"/>
  <c r="R189" i="2" s="1"/>
  <c r="O543" i="2" l="1"/>
  <c r="R543" i="2" s="1"/>
  <c r="O545" i="2"/>
  <c r="R545" i="2" s="1"/>
  <c r="O559" i="2"/>
  <c r="R559" i="2" s="1"/>
  <c r="O493" i="2"/>
  <c r="O492" i="2" l="1"/>
  <c r="R493" i="2"/>
  <c r="O542" i="2"/>
  <c r="N508" i="2"/>
  <c r="N507" i="2" s="1"/>
  <c r="N506" i="2" s="1"/>
  <c r="K508" i="2"/>
  <c r="K507" i="2" s="1"/>
  <c r="K506" i="2" s="1"/>
  <c r="O508" i="2"/>
  <c r="N239" i="2"/>
  <c r="K239" i="2"/>
  <c r="O507" i="2" l="1"/>
  <c r="R508" i="2"/>
  <c r="O491" i="2"/>
  <c r="R492" i="2"/>
  <c r="O541" i="2"/>
  <c r="R542" i="2"/>
  <c r="O104" i="2"/>
  <c r="R104" i="2" s="1"/>
  <c r="N104" i="2"/>
  <c r="K104" i="2"/>
  <c r="N106" i="2"/>
  <c r="K106" i="2"/>
  <c r="O106" i="2"/>
  <c r="R106" i="2" s="1"/>
  <c r="O540" i="2" l="1"/>
  <c r="R540" i="2" s="1"/>
  <c r="R541" i="2"/>
  <c r="O506" i="2"/>
  <c r="R506" i="2" s="1"/>
  <c r="R507" i="2"/>
  <c r="O490" i="2"/>
  <c r="R490" i="2" s="1"/>
  <c r="R491" i="2"/>
  <c r="K103" i="2"/>
  <c r="N103" i="2"/>
  <c r="O103" i="2"/>
  <c r="R103" i="2" s="1"/>
  <c r="N712" i="2"/>
  <c r="N710" i="2"/>
  <c r="N704" i="2"/>
  <c r="O702" i="2"/>
  <c r="N702" i="2"/>
  <c r="N697" i="2"/>
  <c r="N694" i="2"/>
  <c r="N685" i="2"/>
  <c r="N677" i="2"/>
  <c r="O675" i="2"/>
  <c r="R675" i="2" s="1"/>
  <c r="N675" i="2"/>
  <c r="N672" i="2"/>
  <c r="O665" i="2"/>
  <c r="R665" i="2" s="1"/>
  <c r="N665" i="2"/>
  <c r="O663" i="2"/>
  <c r="R663" i="2" s="1"/>
  <c r="N663" i="2"/>
  <c r="O660" i="2"/>
  <c r="N660" i="2"/>
  <c r="N659" i="2" s="1"/>
  <c r="N658" i="2" s="1"/>
  <c r="N657" i="2" s="1"/>
  <c r="O655" i="2"/>
  <c r="R655" i="2" s="1"/>
  <c r="N655" i="2"/>
  <c r="O652" i="2"/>
  <c r="N652" i="2"/>
  <c r="N649" i="2" s="1"/>
  <c r="O640" i="2"/>
  <c r="N640" i="2"/>
  <c r="N639" i="2" s="1"/>
  <c r="O635" i="2"/>
  <c r="R635" i="2" s="1"/>
  <c r="N636" i="2"/>
  <c r="N635" i="2" s="1"/>
  <c r="O626" i="2"/>
  <c r="R626" i="2" s="1"/>
  <c r="N626" i="2"/>
  <c r="O622" i="2"/>
  <c r="R622" i="2" s="1"/>
  <c r="N622" i="2"/>
  <c r="O616" i="2"/>
  <c r="R616" i="2" s="1"/>
  <c r="N616" i="2"/>
  <c r="O611" i="2"/>
  <c r="N611" i="2"/>
  <c r="N610" i="2" s="1"/>
  <c r="N609" i="2" s="1"/>
  <c r="N608" i="2" s="1"/>
  <c r="O599" i="2"/>
  <c r="N600" i="2"/>
  <c r="N599" i="2" s="1"/>
  <c r="N598" i="2" s="1"/>
  <c r="N592" i="2"/>
  <c r="N591" i="2" s="1"/>
  <c r="N590" i="2" s="1"/>
  <c r="O582" i="2"/>
  <c r="R582" i="2" s="1"/>
  <c r="N582" i="2"/>
  <c r="N581" i="2" s="1"/>
  <c r="N580" i="2" s="1"/>
  <c r="O569" i="2"/>
  <c r="R569" i="2" s="1"/>
  <c r="N569" i="2"/>
  <c r="O567" i="2"/>
  <c r="R567" i="2" s="1"/>
  <c r="N567" i="2"/>
  <c r="O562" i="2"/>
  <c r="N562" i="2"/>
  <c r="N559" i="2"/>
  <c r="O512" i="2"/>
  <c r="N512" i="2"/>
  <c r="N511" i="2" s="1"/>
  <c r="N510" i="2" s="1"/>
  <c r="N500" i="2" s="1"/>
  <c r="O480" i="2"/>
  <c r="N480" i="2"/>
  <c r="N479" i="2" s="1"/>
  <c r="N478" i="2" s="1"/>
  <c r="O476" i="2"/>
  <c r="N476" i="2"/>
  <c r="N475" i="2" s="1"/>
  <c r="N474" i="2" s="1"/>
  <c r="O472" i="2"/>
  <c r="N472" i="2"/>
  <c r="N471" i="2" s="1"/>
  <c r="N470" i="2" s="1"/>
  <c r="O467" i="2"/>
  <c r="N467" i="2"/>
  <c r="N466" i="2" s="1"/>
  <c r="N465" i="2" s="1"/>
  <c r="O462" i="2"/>
  <c r="N462" i="2"/>
  <c r="N461" i="2" s="1"/>
  <c r="N460" i="2" s="1"/>
  <c r="N459" i="2" s="1"/>
  <c r="N455" i="2"/>
  <c r="N454" i="2" s="1"/>
  <c r="O455" i="2"/>
  <c r="N452" i="2"/>
  <c r="N451" i="2" s="1"/>
  <c r="O452" i="2"/>
  <c r="O447" i="2"/>
  <c r="N447" i="2"/>
  <c r="N446" i="2" s="1"/>
  <c r="N445" i="2" s="1"/>
  <c r="N444" i="2" s="1"/>
  <c r="N438" i="2"/>
  <c r="N435" i="2" s="1"/>
  <c r="O433" i="2"/>
  <c r="N433" i="2"/>
  <c r="N432" i="2" s="1"/>
  <c r="N431" i="2" s="1"/>
  <c r="N430" i="2" s="1"/>
  <c r="O424" i="2"/>
  <c r="N424" i="2"/>
  <c r="N423" i="2" s="1"/>
  <c r="N422" i="2" s="1"/>
  <c r="N421" i="2" s="1"/>
  <c r="O412" i="2"/>
  <c r="N412" i="2"/>
  <c r="N411" i="2" s="1"/>
  <c r="N410" i="2" s="1"/>
  <c r="O400" i="2"/>
  <c r="N400" i="2"/>
  <c r="N399" i="2" s="1"/>
  <c r="N397" i="2"/>
  <c r="O395" i="2"/>
  <c r="R395" i="2" s="1"/>
  <c r="N395" i="2"/>
  <c r="N391" i="2"/>
  <c r="O388" i="2"/>
  <c r="R388" i="2" s="1"/>
  <c r="N388" i="2"/>
  <c r="N384" i="2"/>
  <c r="O382" i="2"/>
  <c r="R382" i="2" s="1"/>
  <c r="N382" i="2"/>
  <c r="O377" i="2"/>
  <c r="R377" i="2" s="1"/>
  <c r="N377" i="2"/>
  <c r="O375" i="2"/>
  <c r="R375" i="2" s="1"/>
  <c r="N375" i="2"/>
  <c r="O371" i="2"/>
  <c r="R371" i="2" s="1"/>
  <c r="N371" i="2"/>
  <c r="N368" i="2"/>
  <c r="N365" i="2"/>
  <c r="N362" i="2"/>
  <c r="N354" i="2"/>
  <c r="N351" i="2"/>
  <c r="O349" i="2"/>
  <c r="R349" i="2" s="1"/>
  <c r="N349" i="2"/>
  <c r="O347" i="2"/>
  <c r="R347" i="2" s="1"/>
  <c r="N347" i="2"/>
  <c r="O342" i="2"/>
  <c r="R342" i="2" s="1"/>
  <c r="N342" i="2"/>
  <c r="N339" i="2"/>
  <c r="O336" i="2"/>
  <c r="R336" i="2" s="1"/>
  <c r="N336" i="2"/>
  <c r="N333" i="2"/>
  <c r="N330" i="2"/>
  <c r="N326" i="2"/>
  <c r="N315" i="2"/>
  <c r="N312" i="2" s="1"/>
  <c r="O310" i="2"/>
  <c r="N310" i="2"/>
  <c r="N309" i="2" s="1"/>
  <c r="O306" i="2"/>
  <c r="N306" i="2"/>
  <c r="N305" i="2" s="1"/>
  <c r="O301" i="2"/>
  <c r="N301" i="2"/>
  <c r="N300" i="2" s="1"/>
  <c r="N299" i="2" s="1"/>
  <c r="N298" i="2" s="1"/>
  <c r="N294" i="2"/>
  <c r="N290" i="2"/>
  <c r="O283" i="2"/>
  <c r="N283" i="2"/>
  <c r="N282" i="2" s="1"/>
  <c r="O272" i="2"/>
  <c r="N272" i="2"/>
  <c r="N271" i="2" s="1"/>
  <c r="N270" i="2" s="1"/>
  <c r="N269" i="2" s="1"/>
  <c r="O265" i="2"/>
  <c r="R265" i="2" s="1"/>
  <c r="N265" i="2"/>
  <c r="N264" i="2" s="1"/>
  <c r="N263" i="2" s="1"/>
  <c r="O260" i="2"/>
  <c r="R260" i="2" s="1"/>
  <c r="N260" i="2"/>
  <c r="N259" i="2" s="1"/>
  <c r="N258" i="2" s="1"/>
  <c r="N251" i="2"/>
  <c r="N250" i="2" s="1"/>
  <c r="N249" i="2" s="1"/>
  <c r="N248" i="2" s="1"/>
  <c r="N234" i="2"/>
  <c r="O232" i="2"/>
  <c r="R232" i="2" s="1"/>
  <c r="N232" i="2"/>
  <c r="O229" i="2"/>
  <c r="N229" i="2"/>
  <c r="O214" i="2"/>
  <c r="N214" i="2"/>
  <c r="O212" i="2"/>
  <c r="R212" i="2" s="1"/>
  <c r="N212" i="2"/>
  <c r="O209" i="2"/>
  <c r="R209" i="2" s="1"/>
  <c r="N209" i="2"/>
  <c r="N207" i="2"/>
  <c r="O207" i="2"/>
  <c r="R207" i="2" s="1"/>
  <c r="N203" i="2"/>
  <c r="O201" i="2"/>
  <c r="R201" i="2" s="1"/>
  <c r="N201" i="2"/>
  <c r="N198" i="2"/>
  <c r="O196" i="2"/>
  <c r="N196" i="2"/>
  <c r="O187" i="2"/>
  <c r="R187" i="2" s="1"/>
  <c r="N187" i="2"/>
  <c r="O183" i="2"/>
  <c r="R183" i="2" s="1"/>
  <c r="N183" i="2"/>
  <c r="O181" i="2"/>
  <c r="R181" i="2" s="1"/>
  <c r="N181" i="2"/>
  <c r="O173" i="2"/>
  <c r="R173" i="2" s="1"/>
  <c r="N173" i="2"/>
  <c r="O171" i="2"/>
  <c r="R171" i="2" s="1"/>
  <c r="N171" i="2"/>
  <c r="N167" i="2"/>
  <c r="N164" i="2"/>
  <c r="N160" i="2"/>
  <c r="N156" i="2"/>
  <c r="O154" i="2"/>
  <c r="R154" i="2" s="1"/>
  <c r="N154" i="2"/>
  <c r="N144" i="2"/>
  <c r="N134" i="2" s="1"/>
  <c r="O132" i="2"/>
  <c r="R132" i="2" s="1"/>
  <c r="N132" i="2"/>
  <c r="O130" i="2"/>
  <c r="R130" i="2" s="1"/>
  <c r="N130" i="2"/>
  <c r="N118" i="2"/>
  <c r="N117" i="2" s="1"/>
  <c r="O78" i="2"/>
  <c r="R78" i="2" s="1"/>
  <c r="N78" i="2"/>
  <c r="N52" i="2"/>
  <c r="O50" i="2"/>
  <c r="R50" i="2" s="1"/>
  <c r="N50" i="2"/>
  <c r="N47" i="2"/>
  <c r="O45" i="2"/>
  <c r="R45" i="2" s="1"/>
  <c r="N45" i="2"/>
  <c r="O43" i="2"/>
  <c r="R43" i="2" s="1"/>
  <c r="N43" i="2"/>
  <c r="N31" i="2"/>
  <c r="N30" i="2" s="1"/>
  <c r="N29" i="2" s="1"/>
  <c r="N28" i="2" s="1"/>
  <c r="O26" i="2"/>
  <c r="N26" i="2"/>
  <c r="N25" i="2" s="1"/>
  <c r="N24" i="2" s="1"/>
  <c r="N23" i="2" s="1"/>
  <c r="N21" i="2" s="1"/>
  <c r="N20" i="2" s="1"/>
  <c r="N19" i="2" s="1"/>
  <c r="N18" i="2" s="1"/>
  <c r="R229" i="2" l="1"/>
  <c r="O228" i="2"/>
  <c r="R196" i="2"/>
  <c r="O282" i="2"/>
  <c r="R282" i="2" s="1"/>
  <c r="R283" i="2"/>
  <c r="O309" i="2"/>
  <c r="R310" i="2"/>
  <c r="O446" i="2"/>
  <c r="R447" i="2"/>
  <c r="O466" i="2"/>
  <c r="R467" i="2"/>
  <c r="O211" i="2"/>
  <c r="R211" i="2" s="1"/>
  <c r="R214" i="2"/>
  <c r="O271" i="2"/>
  <c r="R272" i="2"/>
  <c r="O305" i="2"/>
  <c r="R306" i="2"/>
  <c r="O461" i="2"/>
  <c r="R462" i="2"/>
  <c r="O471" i="2"/>
  <c r="R472" i="2"/>
  <c r="O479" i="2"/>
  <c r="R480" i="2"/>
  <c r="O511" i="2"/>
  <c r="R512" i="2"/>
  <c r="O610" i="2"/>
  <c r="R611" i="2"/>
  <c r="O649" i="2"/>
  <c r="R649" i="2" s="1"/>
  <c r="R652" i="2"/>
  <c r="O399" i="2"/>
  <c r="R399" i="2" s="1"/>
  <c r="R400" i="2"/>
  <c r="O423" i="2"/>
  <c r="R424" i="2"/>
  <c r="O454" i="2"/>
  <c r="R454" i="2" s="1"/>
  <c r="R455" i="2"/>
  <c r="O558" i="2"/>
  <c r="R558" i="2" s="1"/>
  <c r="R562" i="2"/>
  <c r="O300" i="2"/>
  <c r="R301" i="2"/>
  <c r="O475" i="2"/>
  <c r="R476" i="2"/>
  <c r="O598" i="2"/>
  <c r="R598" i="2" s="1"/>
  <c r="R599" i="2"/>
  <c r="O639" i="2"/>
  <c r="R639" i="2" s="1"/>
  <c r="R640" i="2"/>
  <c r="O659" i="2"/>
  <c r="R660" i="2"/>
  <c r="O25" i="2"/>
  <c r="R26" i="2"/>
  <c r="O411" i="2"/>
  <c r="R412" i="2"/>
  <c r="O432" i="2"/>
  <c r="R433" i="2"/>
  <c r="O451" i="2"/>
  <c r="R451" i="2" s="1"/>
  <c r="R452" i="2"/>
  <c r="O615" i="2"/>
  <c r="O564" i="2"/>
  <c r="R564" i="2" s="1"/>
  <c r="N286" i="2"/>
  <c r="O581" i="2"/>
  <c r="O259" i="2"/>
  <c r="O381" i="2"/>
  <c r="R381" i="2" s="1"/>
  <c r="O156" i="2"/>
  <c r="R156" i="2" s="1"/>
  <c r="O31" i="2"/>
  <c r="R31" i="2" s="1"/>
  <c r="O333" i="2"/>
  <c r="R333" i="2" s="1"/>
  <c r="O362" i="2"/>
  <c r="R362" i="2" s="1"/>
  <c r="O365" i="2"/>
  <c r="R365" i="2" s="1"/>
  <c r="O294" i="2"/>
  <c r="R294" i="2" s="1"/>
  <c r="O368" i="2"/>
  <c r="R368" i="2" s="1"/>
  <c r="O694" i="2"/>
  <c r="R694" i="2" s="1"/>
  <c r="O339" i="2"/>
  <c r="R339" i="2" s="1"/>
  <c r="O251" i="2"/>
  <c r="O351" i="2"/>
  <c r="R351" i="2" s="1"/>
  <c r="O704" i="2"/>
  <c r="O354" i="2"/>
  <c r="R354" i="2" s="1"/>
  <c r="N701" i="2"/>
  <c r="N700" i="2" s="1"/>
  <c r="N281" i="2"/>
  <c r="N280" i="2" s="1"/>
  <c r="O330" i="2"/>
  <c r="R330" i="2" s="1"/>
  <c r="N709" i="2"/>
  <c r="N708" i="2" s="1"/>
  <c r="O697" i="2"/>
  <c r="R697" i="2" s="1"/>
  <c r="O672" i="2"/>
  <c r="R672" i="2" s="1"/>
  <c r="N662" i="2"/>
  <c r="N654" i="2"/>
  <c r="N643" i="2" s="1"/>
  <c r="N642" i="2" s="1"/>
  <c r="N634" i="2"/>
  <c r="N615" i="2"/>
  <c r="N614" i="2" s="1"/>
  <c r="O597" i="2"/>
  <c r="R597" i="2" s="1"/>
  <c r="N597" i="2"/>
  <c r="O591" i="2"/>
  <c r="N579" i="2"/>
  <c r="N564" i="2"/>
  <c r="N558" i="2"/>
  <c r="N464" i="2"/>
  <c r="N450" i="2"/>
  <c r="N449" i="2" s="1"/>
  <c r="N390" i="2"/>
  <c r="O391" i="2"/>
  <c r="N381" i="2"/>
  <c r="N325" i="2"/>
  <c r="N304" i="2"/>
  <c r="N303" i="2" s="1"/>
  <c r="N297" i="2" s="1"/>
  <c r="O290" i="2"/>
  <c r="R290" i="2" s="1"/>
  <c r="O281" i="2"/>
  <c r="N257" i="2"/>
  <c r="N228" i="2"/>
  <c r="N227" i="2" s="1"/>
  <c r="N226" i="2" s="1"/>
  <c r="N211" i="2"/>
  <c r="O198" i="2"/>
  <c r="R198" i="2" s="1"/>
  <c r="N195" i="2"/>
  <c r="R167" i="2"/>
  <c r="O160" i="2"/>
  <c r="R160" i="2" s="1"/>
  <c r="N153" i="2"/>
  <c r="O134" i="2"/>
  <c r="R134" i="2" s="1"/>
  <c r="O129" i="2"/>
  <c r="R129" i="2" s="1"/>
  <c r="N129" i="2"/>
  <c r="N116" i="2" s="1"/>
  <c r="N115" i="2" s="1"/>
  <c r="O118" i="2"/>
  <c r="O52" i="2"/>
  <c r="N42" i="2"/>
  <c r="K214" i="2"/>
  <c r="K212" i="2"/>
  <c r="K154" i="2"/>
  <c r="K132" i="2"/>
  <c r="K130" i="2"/>
  <c r="O195" i="2" l="1"/>
  <c r="R195" i="2" s="1"/>
  <c r="O634" i="2"/>
  <c r="R634" i="2" s="1"/>
  <c r="O390" i="2"/>
  <c r="R390" i="2" s="1"/>
  <c r="R391" i="2"/>
  <c r="O250" i="2"/>
  <c r="R251" i="2"/>
  <c r="O258" i="2"/>
  <c r="R259" i="2"/>
  <c r="O590" i="2"/>
  <c r="R590" i="2" s="1"/>
  <c r="R591" i="2"/>
  <c r="O450" i="2"/>
  <c r="O580" i="2"/>
  <c r="R580" i="2" s="1"/>
  <c r="R581" i="2"/>
  <c r="O614" i="2"/>
  <c r="R614" i="2" s="1"/>
  <c r="R615" i="2"/>
  <c r="O431" i="2"/>
  <c r="R432" i="2"/>
  <c r="O24" i="2"/>
  <c r="R25" i="2"/>
  <c r="O474" i="2"/>
  <c r="R474" i="2" s="1"/>
  <c r="R475" i="2"/>
  <c r="O557" i="2"/>
  <c r="R557" i="2" s="1"/>
  <c r="O422" i="2"/>
  <c r="R423" i="2"/>
  <c r="O510" i="2"/>
  <c r="R511" i="2"/>
  <c r="O470" i="2"/>
  <c r="R470" i="2" s="1"/>
  <c r="R471" i="2"/>
  <c r="O304" i="2"/>
  <c r="R305" i="2"/>
  <c r="O465" i="2"/>
  <c r="R466" i="2"/>
  <c r="O308" i="2"/>
  <c r="R308" i="2" s="1"/>
  <c r="R309" i="2"/>
  <c r="O42" i="2"/>
  <c r="R42" i="2" s="1"/>
  <c r="R52" i="2"/>
  <c r="O701" i="2"/>
  <c r="R704" i="2"/>
  <c r="O117" i="2"/>
  <c r="R118" i="2"/>
  <c r="O280" i="2"/>
  <c r="R280" i="2" s="1"/>
  <c r="R281" i="2"/>
  <c r="O227" i="2"/>
  <c r="R228" i="2"/>
  <c r="O410" i="2"/>
  <c r="R410" i="2" s="1"/>
  <c r="R411" i="2"/>
  <c r="O658" i="2"/>
  <c r="R659" i="2"/>
  <c r="O299" i="2"/>
  <c r="R300" i="2"/>
  <c r="O609" i="2"/>
  <c r="R610" i="2"/>
  <c r="O478" i="2"/>
  <c r="R478" i="2" s="1"/>
  <c r="R479" i="2"/>
  <c r="O460" i="2"/>
  <c r="R461" i="2"/>
  <c r="O270" i="2"/>
  <c r="R271" i="2"/>
  <c r="O445" i="2"/>
  <c r="R446" i="2"/>
  <c r="O286" i="2"/>
  <c r="R286" i="2" s="1"/>
  <c r="O662" i="2"/>
  <c r="R662" i="2" s="1"/>
  <c r="O153" i="2"/>
  <c r="O325" i="2"/>
  <c r="O30" i="2"/>
  <c r="K211" i="2"/>
  <c r="K129" i="2"/>
  <c r="N41" i="2"/>
  <c r="N40" i="2" s="1"/>
  <c r="N12" i="2" s="1"/>
  <c r="N613" i="2"/>
  <c r="N557" i="2"/>
  <c r="N556" i="2" s="1"/>
  <c r="N324" i="2"/>
  <c r="N323" i="2" s="1"/>
  <c r="N322" i="2" s="1"/>
  <c r="N152" i="2"/>
  <c r="N151" i="2" s="1"/>
  <c r="N150" i="2" s="1"/>
  <c r="K388" i="2"/>
  <c r="K373" i="2"/>
  <c r="L373" i="2"/>
  <c r="M373" i="2"/>
  <c r="R153" i="2" l="1"/>
  <c r="O152" i="2"/>
  <c r="O613" i="2"/>
  <c r="R613" i="2" s="1"/>
  <c r="O444" i="2"/>
  <c r="R444" i="2" s="1"/>
  <c r="R445" i="2"/>
  <c r="O269" i="2"/>
  <c r="R269" i="2" s="1"/>
  <c r="R270" i="2"/>
  <c r="O298" i="2"/>
  <c r="R298" i="2" s="1"/>
  <c r="R299" i="2"/>
  <c r="O657" i="2"/>
  <c r="R657" i="2" s="1"/>
  <c r="R658" i="2"/>
  <c r="O226" i="2"/>
  <c r="R226" i="2" s="1"/>
  <c r="R227" i="2"/>
  <c r="O116" i="2"/>
  <c r="R117" i="2"/>
  <c r="O430" i="2"/>
  <c r="R430" i="2" s="1"/>
  <c r="R431" i="2"/>
  <c r="O449" i="2"/>
  <c r="R449" i="2" s="1"/>
  <c r="R450" i="2"/>
  <c r="O257" i="2"/>
  <c r="R257" i="2" s="1"/>
  <c r="R258" i="2"/>
  <c r="O579" i="2"/>
  <c r="R579" i="2" s="1"/>
  <c r="O459" i="2"/>
  <c r="R459" i="2" s="1"/>
  <c r="R460" i="2"/>
  <c r="O608" i="2"/>
  <c r="R608" i="2" s="1"/>
  <c r="R609" i="2"/>
  <c r="O700" i="2"/>
  <c r="R700" i="2" s="1"/>
  <c r="R701" i="2"/>
  <c r="R304" i="2"/>
  <c r="O303" i="2"/>
  <c r="O500" i="2"/>
  <c r="R500" i="2" s="1"/>
  <c r="R510" i="2"/>
  <c r="O556" i="2"/>
  <c r="R556" i="2" s="1"/>
  <c r="O23" i="2"/>
  <c r="R23" i="2" s="1"/>
  <c r="R24" i="2"/>
  <c r="O324" i="2"/>
  <c r="R324" i="2" s="1"/>
  <c r="R325" i="2"/>
  <c r="R465" i="2"/>
  <c r="O464" i="2"/>
  <c r="R464" i="2" s="1"/>
  <c r="O421" i="2"/>
  <c r="R421" i="2" s="1"/>
  <c r="R422" i="2"/>
  <c r="O29" i="2"/>
  <c r="R30" i="2"/>
  <c r="O642" i="2"/>
  <c r="O249" i="2"/>
  <c r="R250" i="2"/>
  <c r="O41" i="2"/>
  <c r="N443" i="2"/>
  <c r="N716" i="2" s="1"/>
  <c r="K567" i="2"/>
  <c r="K569" i="2"/>
  <c r="K665" i="2"/>
  <c r="K559" i="2"/>
  <c r="K480" i="2"/>
  <c r="K479" i="2" s="1"/>
  <c r="K478" i="2" s="1"/>
  <c r="K476" i="2"/>
  <c r="K475" i="2" s="1"/>
  <c r="K474" i="2" s="1"/>
  <c r="O443" i="2" l="1"/>
  <c r="O716" i="2" s="1"/>
  <c r="O323" i="2"/>
  <c r="R323" i="2" s="1"/>
  <c r="O151" i="2"/>
  <c r="R152" i="2"/>
  <c r="O28" i="2"/>
  <c r="R28" i="2" s="1"/>
  <c r="R29" i="2"/>
  <c r="R303" i="2"/>
  <c r="O297" i="2"/>
  <c r="R297" i="2" s="1"/>
  <c r="R116" i="2"/>
  <c r="O115" i="2"/>
  <c r="R115" i="2" s="1"/>
  <c r="O248" i="2"/>
  <c r="R248" i="2" s="1"/>
  <c r="R249" i="2"/>
  <c r="O40" i="2"/>
  <c r="R41" i="2"/>
  <c r="K564" i="2"/>
  <c r="K391" i="2"/>
  <c r="K395" i="2"/>
  <c r="K397" i="2"/>
  <c r="K47" i="2"/>
  <c r="K713" i="2"/>
  <c r="M714" i="2"/>
  <c r="K711" i="2"/>
  <c r="M711" i="2" s="1"/>
  <c r="M710" i="2" s="1"/>
  <c r="K209" i="2"/>
  <c r="K167" i="2"/>
  <c r="K127" i="2"/>
  <c r="K126" i="2" s="1"/>
  <c r="K488" i="2"/>
  <c r="K487" i="2" s="1"/>
  <c r="K412" i="2"/>
  <c r="K411" i="2" s="1"/>
  <c r="K410" i="2" s="1"/>
  <c r="K160" i="2"/>
  <c r="K156" i="2"/>
  <c r="K326" i="2"/>
  <c r="K562" i="2"/>
  <c r="K558" i="2" s="1"/>
  <c r="L712" i="2"/>
  <c r="M329" i="2"/>
  <c r="M326" i="2" s="1"/>
  <c r="M372" i="2"/>
  <c r="M371" i="2" s="1"/>
  <c r="L86" i="2"/>
  <c r="L85" i="2" s="1"/>
  <c r="L84" i="2" s="1"/>
  <c r="K377" i="2"/>
  <c r="L377" i="2"/>
  <c r="M378" i="2"/>
  <c r="M377" i="2" s="1"/>
  <c r="M367" i="2"/>
  <c r="M366" i="2"/>
  <c r="M170" i="2"/>
  <c r="M168" i="2"/>
  <c r="L294" i="2"/>
  <c r="M295" i="2"/>
  <c r="M296" i="2"/>
  <c r="K80" i="2"/>
  <c r="L80" i="2"/>
  <c r="L82" i="2"/>
  <c r="K82" i="2"/>
  <c r="M83" i="2"/>
  <c r="M82" i="2" s="1"/>
  <c r="M81" i="2"/>
  <c r="M80" i="2" s="1"/>
  <c r="M335" i="2"/>
  <c r="M333" i="2" s="1"/>
  <c r="M161" i="2"/>
  <c r="M160" i="2" s="1"/>
  <c r="M165" i="2"/>
  <c r="M164" i="2" s="1"/>
  <c r="M201" i="2"/>
  <c r="M208" i="2"/>
  <c r="M207" i="2" s="1"/>
  <c r="L710" i="2"/>
  <c r="M448" i="2"/>
  <c r="M447" i="2" s="1"/>
  <c r="M446" i="2" s="1"/>
  <c r="M445" i="2" s="1"/>
  <c r="M444" i="2" s="1"/>
  <c r="M48" i="2"/>
  <c r="M47" i="2" s="1"/>
  <c r="L447" i="2"/>
  <c r="L446" i="2" s="1"/>
  <c r="L445" i="2" s="1"/>
  <c r="L444" i="2" s="1"/>
  <c r="L47" i="2"/>
  <c r="M344" i="2"/>
  <c r="M343" i="2"/>
  <c r="K457" i="2"/>
  <c r="L207" i="2"/>
  <c r="K207" i="2"/>
  <c r="L196" i="2"/>
  <c r="K196" i="2"/>
  <c r="M197" i="2"/>
  <c r="M196" i="2" s="1"/>
  <c r="L457" i="2"/>
  <c r="M458" i="2"/>
  <c r="M457" i="2" s="1"/>
  <c r="L455" i="2"/>
  <c r="K455" i="2"/>
  <c r="M456" i="2"/>
  <c r="M455" i="2" s="1"/>
  <c r="L452" i="2"/>
  <c r="L451" i="2" s="1"/>
  <c r="M453" i="2"/>
  <c r="M452" i="2" s="1"/>
  <c r="M451" i="2" s="1"/>
  <c r="L171" i="2"/>
  <c r="K171" i="2"/>
  <c r="M172" i="2"/>
  <c r="M171" i="2" s="1"/>
  <c r="L164" i="2"/>
  <c r="L156" i="2"/>
  <c r="L160" i="2"/>
  <c r="L167" i="2"/>
  <c r="M401" i="2"/>
  <c r="M400" i="2" s="1"/>
  <c r="M399" i="2" s="1"/>
  <c r="M394" i="2" s="1"/>
  <c r="M169" i="2"/>
  <c r="M77" i="2"/>
  <c r="M76" i="2" s="1"/>
  <c r="L76" i="2"/>
  <c r="K76" i="2"/>
  <c r="L310" i="2"/>
  <c r="L309" i="2" s="1"/>
  <c r="L304" i="2" s="1"/>
  <c r="L303" i="2" s="1"/>
  <c r="K310" i="2"/>
  <c r="K309" i="2" s="1"/>
  <c r="M311" i="2"/>
  <c r="M310" i="2" s="1"/>
  <c r="M309" i="2" s="1"/>
  <c r="L124" i="2"/>
  <c r="K124" i="2"/>
  <c r="M125" i="2"/>
  <c r="M124" i="2" s="1"/>
  <c r="L34" i="2"/>
  <c r="K34" i="2"/>
  <c r="M36" i="2"/>
  <c r="M35" i="2"/>
  <c r="L538" i="2"/>
  <c r="L535" i="2" s="1"/>
  <c r="L534" i="2" s="1"/>
  <c r="L533" i="2" s="1"/>
  <c r="K538" i="2"/>
  <c r="M539" i="2"/>
  <c r="M538" i="2" s="1"/>
  <c r="L634" i="2"/>
  <c r="L622" i="2"/>
  <c r="K622" i="2"/>
  <c r="M623" i="2"/>
  <c r="M622" i="2" s="1"/>
  <c r="L31" i="2"/>
  <c r="K31" i="2"/>
  <c r="M33" i="2"/>
  <c r="M32" i="2"/>
  <c r="L122" i="2"/>
  <c r="K122" i="2"/>
  <c r="M123" i="2"/>
  <c r="M122" i="2" s="1"/>
  <c r="L118" i="2"/>
  <c r="L117" i="2" s="1"/>
  <c r="K118" i="2"/>
  <c r="K117" i="2" s="1"/>
  <c r="M119" i="2"/>
  <c r="M120" i="2"/>
  <c r="L626" i="2"/>
  <c r="K626" i="2"/>
  <c r="M627" i="2"/>
  <c r="M626" i="2" s="1"/>
  <c r="M231" i="2"/>
  <c r="M229" i="2" s="1"/>
  <c r="L660" i="2"/>
  <c r="L659" i="2" s="1"/>
  <c r="L658" i="2" s="1"/>
  <c r="L657" i="2" s="1"/>
  <c r="K660" i="2"/>
  <c r="K659" i="2" s="1"/>
  <c r="K658" i="2" s="1"/>
  <c r="K657" i="2" s="1"/>
  <c r="M661" i="2"/>
  <c r="M660" i="2" s="1"/>
  <c r="M659" i="2" s="1"/>
  <c r="M658" i="2" s="1"/>
  <c r="M657" i="2" s="1"/>
  <c r="L592" i="2"/>
  <c r="L591" i="2" s="1"/>
  <c r="L590" i="2" s="1"/>
  <c r="L579" i="2" s="1"/>
  <c r="M595" i="2"/>
  <c r="M596" i="2"/>
  <c r="M593" i="2"/>
  <c r="L512" i="2"/>
  <c r="L511" i="2" s="1"/>
  <c r="L510" i="2" s="1"/>
  <c r="K512" i="2"/>
  <c r="K511" i="2" s="1"/>
  <c r="K510" i="2" s="1"/>
  <c r="K500" i="2" s="1"/>
  <c r="M513" i="2"/>
  <c r="M512" i="2" s="1"/>
  <c r="M511" i="2" s="1"/>
  <c r="M510" i="2" s="1"/>
  <c r="L600" i="2"/>
  <c r="L599" i="2" s="1"/>
  <c r="L597" i="2" s="1"/>
  <c r="K600" i="2"/>
  <c r="K602" i="2"/>
  <c r="M601" i="2"/>
  <c r="M600" i="2" s="1"/>
  <c r="M602" i="2"/>
  <c r="L677" i="2"/>
  <c r="M679" i="2"/>
  <c r="M678" i="2"/>
  <c r="M681" i="2"/>
  <c r="M694" i="2"/>
  <c r="L229" i="2"/>
  <c r="L234" i="2"/>
  <c r="L239" i="2"/>
  <c r="L232" i="2"/>
  <c r="K229" i="2"/>
  <c r="K234" i="2"/>
  <c r="K232" i="2"/>
  <c r="M238" i="2"/>
  <c r="M236" i="2"/>
  <c r="M242" i="2"/>
  <c r="M241" i="2"/>
  <c r="M247" i="2"/>
  <c r="M157" i="2"/>
  <c r="M156" i="2" s="1"/>
  <c r="M233" i="2"/>
  <c r="M232" i="2" s="1"/>
  <c r="L330" i="2"/>
  <c r="K330" i="2"/>
  <c r="M332" i="2"/>
  <c r="M331" i="2"/>
  <c r="L649" i="2"/>
  <c r="L517" i="2"/>
  <c r="L516" i="2" s="1"/>
  <c r="L515" i="2" s="1"/>
  <c r="K517" i="2"/>
  <c r="M518" i="2"/>
  <c r="M517" i="2" s="1"/>
  <c r="M519" i="2"/>
  <c r="M522" i="2"/>
  <c r="M524" i="2"/>
  <c r="L685" i="2"/>
  <c r="K685" i="2"/>
  <c r="M689" i="2"/>
  <c r="M686" i="2"/>
  <c r="L503" i="2"/>
  <c r="L502" i="2" s="1"/>
  <c r="L501" i="2" s="1"/>
  <c r="M505" i="2"/>
  <c r="M503" i="2" s="1"/>
  <c r="M502" i="2" s="1"/>
  <c r="M501" i="2" s="1"/>
  <c r="L408" i="2"/>
  <c r="L407" i="2" s="1"/>
  <c r="L400" i="2"/>
  <c r="L399" i="2" s="1"/>
  <c r="L391" i="2"/>
  <c r="L390" i="2" s="1"/>
  <c r="M391" i="2"/>
  <c r="M390" i="2" s="1"/>
  <c r="L382" i="2"/>
  <c r="L375" i="2"/>
  <c r="M375" i="2"/>
  <c r="L371" i="2"/>
  <c r="L368" i="2"/>
  <c r="M368" i="2"/>
  <c r="L365" i="2"/>
  <c r="L362" i="2"/>
  <c r="M362" i="2"/>
  <c r="L354" i="2"/>
  <c r="M354" i="2"/>
  <c r="L351" i="2"/>
  <c r="M351" i="2"/>
  <c r="L349" i="2"/>
  <c r="M349" i="2"/>
  <c r="L347" i="2"/>
  <c r="M347" i="2"/>
  <c r="E64" i="3" s="1"/>
  <c r="L342" i="2"/>
  <c r="L339" i="2"/>
  <c r="M339" i="2"/>
  <c r="L336" i="2"/>
  <c r="M336" i="2"/>
  <c r="L333" i="2"/>
  <c r="L326" i="2"/>
  <c r="M385" i="2"/>
  <c r="L384" i="2"/>
  <c r="K408" i="2"/>
  <c r="K407" i="2" s="1"/>
  <c r="M409" i="2"/>
  <c r="M408" i="2" s="1"/>
  <c r="M407" i="2" s="1"/>
  <c r="K384" i="2"/>
  <c r="K382" i="2"/>
  <c r="L616" i="2"/>
  <c r="L301" i="2"/>
  <c r="L300" i="2" s="1"/>
  <c r="L299" i="2" s="1"/>
  <c r="L298" i="2" s="1"/>
  <c r="M302" i="2"/>
  <c r="M301" i="2" s="1"/>
  <c r="M300" i="2" s="1"/>
  <c r="M299" i="2" s="1"/>
  <c r="M298" i="2" s="1"/>
  <c r="K56" i="2"/>
  <c r="M56" i="2"/>
  <c r="K59" i="2"/>
  <c r="M59" i="2"/>
  <c r="K61" i="2"/>
  <c r="K63" i="2"/>
  <c r="M61" i="2"/>
  <c r="M63" i="2"/>
  <c r="K67" i="2"/>
  <c r="K66" i="2" s="1"/>
  <c r="K65" i="2" s="1"/>
  <c r="M67" i="2"/>
  <c r="M66" i="2" s="1"/>
  <c r="M65" i="2" s="1"/>
  <c r="K72" i="2"/>
  <c r="K71" i="2" s="1"/>
  <c r="K70" i="2" s="1"/>
  <c r="M72" i="2"/>
  <c r="M71" i="2" s="1"/>
  <c r="M70" i="2" s="1"/>
  <c r="K704" i="2"/>
  <c r="K702" i="2"/>
  <c r="K697" i="2"/>
  <c r="K694" i="2"/>
  <c r="K677" i="2"/>
  <c r="K675" i="2"/>
  <c r="K672" i="2"/>
  <c r="K663" i="2"/>
  <c r="K655" i="2"/>
  <c r="K652" i="2"/>
  <c r="K649" i="2" s="1"/>
  <c r="K650" i="2"/>
  <c r="K645" i="2"/>
  <c r="K644" i="2" s="1"/>
  <c r="K640" i="2"/>
  <c r="K639" i="2" s="1"/>
  <c r="K636" i="2"/>
  <c r="K635" i="2" s="1"/>
  <c r="K628" i="2"/>
  <c r="K616" i="2"/>
  <c r="K611" i="2"/>
  <c r="K610" i="2" s="1"/>
  <c r="K609" i="2" s="1"/>
  <c r="K608" i="2" s="1"/>
  <c r="K592" i="2"/>
  <c r="K591" i="2" s="1"/>
  <c r="K590" i="2" s="1"/>
  <c r="K584" i="2"/>
  <c r="K582" i="2"/>
  <c r="K536" i="2"/>
  <c r="K531" i="2"/>
  <c r="K530" i="2" s="1"/>
  <c r="K524" i="2"/>
  <c r="K522" i="2"/>
  <c r="K519" i="2"/>
  <c r="K503" i="2"/>
  <c r="K502" i="2" s="1"/>
  <c r="K501" i="2" s="1"/>
  <c r="K472" i="2"/>
  <c r="K471" i="2" s="1"/>
  <c r="K470" i="2" s="1"/>
  <c r="K467" i="2"/>
  <c r="K466" i="2" s="1"/>
  <c r="K465" i="2" s="1"/>
  <c r="K462" i="2"/>
  <c r="K461" i="2" s="1"/>
  <c r="K460" i="2" s="1"/>
  <c r="K459" i="2" s="1"/>
  <c r="K452" i="2"/>
  <c r="K451" i="2" s="1"/>
  <c r="K447" i="2"/>
  <c r="K446" i="2" s="1"/>
  <c r="K438" i="2"/>
  <c r="K435" i="2" s="1"/>
  <c r="K433" i="2"/>
  <c r="K432" i="2" s="1"/>
  <c r="K431" i="2" s="1"/>
  <c r="K430" i="2" s="1"/>
  <c r="K428" i="2"/>
  <c r="K424" i="2"/>
  <c r="K404" i="2"/>
  <c r="K403" i="2" s="1"/>
  <c r="K402" i="2" s="1"/>
  <c r="K400" i="2"/>
  <c r="K399" i="2" s="1"/>
  <c r="K394" i="2" s="1"/>
  <c r="K375" i="2"/>
  <c r="K371" i="2"/>
  <c r="K368" i="2"/>
  <c r="K365" i="2"/>
  <c r="K362" i="2"/>
  <c r="K354" i="2"/>
  <c r="K351" i="2"/>
  <c r="K349" i="2"/>
  <c r="K347" i="2"/>
  <c r="K345" i="2"/>
  <c r="K342" i="2"/>
  <c r="K339" i="2"/>
  <c r="K336" i="2"/>
  <c r="K333" i="2"/>
  <c r="K315" i="2"/>
  <c r="K312" i="2" s="1"/>
  <c r="K306" i="2"/>
  <c r="K305" i="2" s="1"/>
  <c r="K301" i="2"/>
  <c r="K300" i="2" s="1"/>
  <c r="K299" i="2" s="1"/>
  <c r="K298" i="2" s="1"/>
  <c r="K294" i="2"/>
  <c r="K290" i="2"/>
  <c r="K283" i="2"/>
  <c r="K281" i="2" s="1"/>
  <c r="K280" i="2" s="1"/>
  <c r="K277" i="2"/>
  <c r="K276" i="2" s="1"/>
  <c r="K275" i="2" s="1"/>
  <c r="K272" i="2"/>
  <c r="K271" i="2" s="1"/>
  <c r="K270" i="2" s="1"/>
  <c r="K269" i="2" s="1"/>
  <c r="K267" i="2"/>
  <c r="K265" i="2"/>
  <c r="K260" i="2"/>
  <c r="K259" i="2" s="1"/>
  <c r="K258" i="2" s="1"/>
  <c r="K255" i="2"/>
  <c r="K251" i="2"/>
  <c r="K203" i="2"/>
  <c r="K201" i="2"/>
  <c r="K198" i="2"/>
  <c r="K187" i="2"/>
  <c r="K183" i="2"/>
  <c r="K181" i="2"/>
  <c r="K175" i="2"/>
  <c r="K173" i="2"/>
  <c r="K164" i="2"/>
  <c r="K144" i="2"/>
  <c r="K134" i="2" s="1"/>
  <c r="K85" i="2"/>
  <c r="K84" i="2" s="1"/>
  <c r="K78" i="2"/>
  <c r="K52" i="2"/>
  <c r="K50" i="2"/>
  <c r="K45" i="2"/>
  <c r="K43" i="2"/>
  <c r="K26" i="2"/>
  <c r="K25" i="2" s="1"/>
  <c r="K24" i="2" s="1"/>
  <c r="K23" i="2" s="1"/>
  <c r="K21" i="2" s="1"/>
  <c r="K20" i="2" s="1"/>
  <c r="K19" i="2" s="1"/>
  <c r="K18" i="2" s="1"/>
  <c r="K16" i="2"/>
  <c r="K15" i="2" s="1"/>
  <c r="K14" i="2" s="1"/>
  <c r="K13" i="2" s="1"/>
  <c r="M200" i="2"/>
  <c r="M198" i="2" s="1"/>
  <c r="M488" i="2"/>
  <c r="M487" i="2" s="1"/>
  <c r="M251" i="2"/>
  <c r="M255" i="2"/>
  <c r="M704" i="2"/>
  <c r="M697" i="2"/>
  <c r="M272" i="2"/>
  <c r="M271" i="2" s="1"/>
  <c r="M270" i="2" s="1"/>
  <c r="M269" i="2" s="1"/>
  <c r="M187" i="2"/>
  <c r="M78" i="2"/>
  <c r="M203" i="2"/>
  <c r="M462" i="2"/>
  <c r="M461" i="2" s="1"/>
  <c r="M460" i="2" s="1"/>
  <c r="M459" i="2" s="1"/>
  <c r="M702" i="2"/>
  <c r="M315" i="2"/>
  <c r="M312" i="2" s="1"/>
  <c r="M52" i="2"/>
  <c r="M144" i="2"/>
  <c r="M134" i="2" s="1"/>
  <c r="M655" i="2"/>
  <c r="M584" i="2"/>
  <c r="M404" i="2"/>
  <c r="M403" i="2" s="1"/>
  <c r="M402" i="2" s="1"/>
  <c r="M345" i="2"/>
  <c r="M26" i="2"/>
  <c r="M25" i="2" s="1"/>
  <c r="M24" i="2" s="1"/>
  <c r="M23" i="2" s="1"/>
  <c r="M21" i="2" s="1"/>
  <c r="M20" i="2" s="1"/>
  <c r="M19" i="2" s="1"/>
  <c r="M18" i="2" s="1"/>
  <c r="M650" i="2"/>
  <c r="M531" i="2"/>
  <c r="M530" i="2" s="1"/>
  <c r="M472" i="2"/>
  <c r="M471" i="2" s="1"/>
  <c r="M470" i="2" s="1"/>
  <c r="M277" i="2"/>
  <c r="M276" i="2" s="1"/>
  <c r="M275" i="2" s="1"/>
  <c r="M283" i="2"/>
  <c r="M281" i="2" s="1"/>
  <c r="M280" i="2" s="1"/>
  <c r="M433" i="2"/>
  <c r="M432" i="2" s="1"/>
  <c r="M431" i="2" s="1"/>
  <c r="M430" i="2" s="1"/>
  <c r="M260" i="2"/>
  <c r="M259" i="2" s="1"/>
  <c r="M258" i="2" s="1"/>
  <c r="M183" i="2"/>
  <c r="M181" i="2"/>
  <c r="M16" i="2"/>
  <c r="M15" i="2" s="1"/>
  <c r="M14" i="2" s="1"/>
  <c r="M13" i="2" s="1"/>
  <c r="M438" i="2"/>
  <c r="M435" i="2" s="1"/>
  <c r="M428" i="2"/>
  <c r="M424" i="2"/>
  <c r="M306" i="2"/>
  <c r="M305" i="2" s="1"/>
  <c r="M290" i="2"/>
  <c r="M267" i="2"/>
  <c r="M265" i="2"/>
  <c r="M467" i="2"/>
  <c r="M466" i="2" s="1"/>
  <c r="M465" i="2" s="1"/>
  <c r="M50" i="2"/>
  <c r="M45" i="2"/>
  <c r="M43" i="2"/>
  <c r="M628" i="2"/>
  <c r="M652" i="2"/>
  <c r="M649" i="2" s="1"/>
  <c r="M663" i="2"/>
  <c r="M672" i="2"/>
  <c r="E23" i="3" s="1"/>
  <c r="M675" i="2"/>
  <c r="E11" i="3" s="1"/>
  <c r="M175" i="2"/>
  <c r="M173" i="2"/>
  <c r="M611" i="2"/>
  <c r="M610" i="2" s="1"/>
  <c r="M609" i="2" s="1"/>
  <c r="M645" i="2"/>
  <c r="M644" i="2" s="1"/>
  <c r="M636" i="2"/>
  <c r="E34" i="3" s="1"/>
  <c r="M640" i="2"/>
  <c r="M639" i="2" s="1"/>
  <c r="M582" i="2"/>
  <c r="M536" i="2"/>
  <c r="E65" i="3"/>
  <c r="E76" i="3"/>
  <c r="E75" i="3" s="1"/>
  <c r="E20" i="3"/>
  <c r="E19" i="3" s="1"/>
  <c r="E78" i="3"/>
  <c r="E77" i="3" s="1"/>
  <c r="E53" i="3"/>
  <c r="E52" i="3" s="1"/>
  <c r="E54" i="3"/>
  <c r="E50" i="3"/>
  <c r="M383" i="2"/>
  <c r="M382" i="2" s="1"/>
  <c r="M387" i="2"/>
  <c r="M617" i="2"/>
  <c r="M616" i="2" s="1"/>
  <c r="O322" i="2" l="1"/>
  <c r="R322" i="2" s="1"/>
  <c r="K116" i="2"/>
  <c r="O150" i="2"/>
  <c r="R150" i="2" s="1"/>
  <c r="R151" i="2"/>
  <c r="O12" i="2"/>
  <c r="R12" i="2" s="1"/>
  <c r="R40" i="2"/>
  <c r="M86" i="2"/>
  <c r="M85" i="2" s="1"/>
  <c r="M84" i="2" s="1"/>
  <c r="M516" i="2"/>
  <c r="L654" i="2"/>
  <c r="L643" i="2" s="1"/>
  <c r="L642" i="2" s="1"/>
  <c r="K381" i="2"/>
  <c r="M685" i="2"/>
  <c r="E17" i="3" s="1"/>
  <c r="E12" i="3"/>
  <c r="K58" i="2"/>
  <c r="M282" i="2"/>
  <c r="K599" i="2"/>
  <c r="K598" i="2" s="1"/>
  <c r="K454" i="2"/>
  <c r="K450" i="2" s="1"/>
  <c r="K449" i="2" s="1"/>
  <c r="M294" i="2"/>
  <c r="M286" i="2" s="1"/>
  <c r="K286" i="2"/>
  <c r="M330" i="2"/>
  <c r="M234" i="2"/>
  <c r="L195" i="2"/>
  <c r="M365" i="2"/>
  <c r="K30" i="2"/>
  <c r="K29" i="2" s="1"/>
  <c r="K28" i="2" s="1"/>
  <c r="M713" i="2"/>
  <c r="M712" i="2" s="1"/>
  <c r="E15" i="3" s="1"/>
  <c r="O712" i="2"/>
  <c r="R712" i="2" s="1"/>
  <c r="K712" i="2"/>
  <c r="E24" i="3"/>
  <c r="E22" i="3" s="1"/>
  <c r="M581" i="2"/>
  <c r="M580" i="2" s="1"/>
  <c r="K445" i="2"/>
  <c r="K444" i="2" s="1"/>
  <c r="K654" i="2"/>
  <c r="K643" i="2" s="1"/>
  <c r="K642" i="2" s="1"/>
  <c r="M58" i="2"/>
  <c r="M384" i="2"/>
  <c r="M381" i="2" s="1"/>
  <c r="L121" i="2"/>
  <c r="L30" i="2"/>
  <c r="L29" i="2" s="1"/>
  <c r="L28" i="2" s="1"/>
  <c r="M34" i="2"/>
  <c r="L153" i="2"/>
  <c r="L709" i="2"/>
  <c r="K42" i="2"/>
  <c r="K153" i="2"/>
  <c r="M274" i="2"/>
  <c r="K264" i="2"/>
  <c r="K263" i="2" s="1"/>
  <c r="K257" i="2" s="1"/>
  <c r="K581" i="2"/>
  <c r="K580" i="2" s="1"/>
  <c r="K579" i="2" s="1"/>
  <c r="K615" i="2"/>
  <c r="K614" i="2" s="1"/>
  <c r="K701" i="2"/>
  <c r="K700" i="2" s="1"/>
  <c r="L116" i="2"/>
  <c r="L115" i="2" s="1"/>
  <c r="M31" i="2"/>
  <c r="K710" i="2"/>
  <c r="O710" i="2"/>
  <c r="R710" i="2" s="1"/>
  <c r="M342" i="2"/>
  <c r="E67" i="3" s="1"/>
  <c r="K325" i="2"/>
  <c r="M250" i="2"/>
  <c r="M249" i="2" s="1"/>
  <c r="M248" i="2" s="1"/>
  <c r="E68" i="3"/>
  <c r="M264" i="2"/>
  <c r="M263" i="2" s="1"/>
  <c r="M257" i="2" s="1"/>
  <c r="M423" i="2"/>
  <c r="M422" i="2" s="1"/>
  <c r="M421" i="2" s="1"/>
  <c r="K423" i="2"/>
  <c r="K422" i="2" s="1"/>
  <c r="K421" i="2" s="1"/>
  <c r="K516" i="2"/>
  <c r="L615" i="2"/>
  <c r="L614" i="2" s="1"/>
  <c r="L613" i="2" s="1"/>
  <c r="L381" i="2"/>
  <c r="M521" i="2"/>
  <c r="M239" i="2"/>
  <c r="M228" i="2" s="1"/>
  <c r="M227" i="2" s="1"/>
  <c r="M226" i="2" s="1"/>
  <c r="L228" i="2"/>
  <c r="L227" i="2" s="1"/>
  <c r="L226" i="2" s="1"/>
  <c r="M677" i="2"/>
  <c r="E13" i="3" s="1"/>
  <c r="M599" i="2"/>
  <c r="M597" i="2" s="1"/>
  <c r="M592" i="2"/>
  <c r="M591" i="2" s="1"/>
  <c r="M590" i="2" s="1"/>
  <c r="M118" i="2"/>
  <c r="M117" i="2" s="1"/>
  <c r="K121" i="2"/>
  <c r="M167" i="2"/>
  <c r="E51" i="3" s="1"/>
  <c r="L325" i="2"/>
  <c r="K228" i="2"/>
  <c r="K227" i="2" s="1"/>
  <c r="K226" i="2" s="1"/>
  <c r="K195" i="2"/>
  <c r="K250" i="2"/>
  <c r="K249" i="2" s="1"/>
  <c r="K248" i="2" s="1"/>
  <c r="K464" i="2"/>
  <c r="K521" i="2"/>
  <c r="K535" i="2"/>
  <c r="K534" i="2" s="1"/>
  <c r="K533" i="2" s="1"/>
  <c r="K662" i="2"/>
  <c r="L42" i="2"/>
  <c r="L41" i="2" s="1"/>
  <c r="L40" i="2" s="1"/>
  <c r="L454" i="2"/>
  <c r="L450" i="2" s="1"/>
  <c r="L449" i="2" s="1"/>
  <c r="K557" i="2"/>
  <c r="K556" i="2" s="1"/>
  <c r="K390" i="2"/>
  <c r="E63" i="3"/>
  <c r="E46" i="3"/>
  <c r="E45" i="3" s="1"/>
  <c r="K304" i="2"/>
  <c r="K303" i="2" s="1"/>
  <c r="K297" i="2" s="1"/>
  <c r="M464" i="2"/>
  <c r="M454" i="2"/>
  <c r="M450" i="2" s="1"/>
  <c r="M449" i="2" s="1"/>
  <c r="M42" i="2"/>
  <c r="M195" i="2"/>
  <c r="M654" i="2"/>
  <c r="M643" i="2" s="1"/>
  <c r="M642" i="2" s="1"/>
  <c r="E31" i="3" s="1"/>
  <c r="K634" i="2"/>
  <c r="E47" i="3"/>
  <c r="E74" i="3"/>
  <c r="E73" i="3" s="1"/>
  <c r="M608" i="2"/>
  <c r="M615" i="2"/>
  <c r="M614" i="2" s="1"/>
  <c r="M304" i="2"/>
  <c r="M303" i="2" s="1"/>
  <c r="M297" i="2" s="1"/>
  <c r="K274" i="2"/>
  <c r="M121" i="2"/>
  <c r="L297" i="2"/>
  <c r="M701" i="2"/>
  <c r="M700" i="2" s="1"/>
  <c r="K282" i="2"/>
  <c r="M635" i="2"/>
  <c r="M634" i="2" s="1"/>
  <c r="L500" i="2"/>
  <c r="K115" i="2"/>
  <c r="L598" i="2"/>
  <c r="M535" i="2"/>
  <c r="M534" i="2" s="1"/>
  <c r="M533" i="2" s="1"/>
  <c r="E70" i="3"/>
  <c r="E69" i="3" s="1"/>
  <c r="M500" i="2"/>
  <c r="M515" i="2" l="1"/>
  <c r="E40" i="3" s="1"/>
  <c r="E38" i="3" s="1"/>
  <c r="L152" i="2"/>
  <c r="L151" i="2" s="1"/>
  <c r="L150" i="2" s="1"/>
  <c r="M41" i="2"/>
  <c r="M40" i="2" s="1"/>
  <c r="K515" i="2"/>
  <c r="K514" i="2" s="1"/>
  <c r="K597" i="2"/>
  <c r="M30" i="2"/>
  <c r="M29" i="2" s="1"/>
  <c r="M28" i="2" s="1"/>
  <c r="M325" i="2"/>
  <c r="M324" i="2" s="1"/>
  <c r="M323" i="2" s="1"/>
  <c r="M322" i="2" s="1"/>
  <c r="K41" i="2"/>
  <c r="K40" i="2" s="1"/>
  <c r="K12" i="2" s="1"/>
  <c r="E66" i="3"/>
  <c r="M579" i="2"/>
  <c r="K324" i="2"/>
  <c r="K323" i="2" s="1"/>
  <c r="K322" i="2" s="1"/>
  <c r="M153" i="2"/>
  <c r="M152" i="2" s="1"/>
  <c r="M151" i="2" s="1"/>
  <c r="M150" i="2" s="1"/>
  <c r="K613" i="2"/>
  <c r="M598" i="2"/>
  <c r="K709" i="2"/>
  <c r="K708" i="2" s="1"/>
  <c r="E18" i="3"/>
  <c r="O709" i="2"/>
  <c r="R709" i="2" s="1"/>
  <c r="L12" i="2"/>
  <c r="K152" i="2"/>
  <c r="K151" i="2" s="1"/>
  <c r="K150" i="2" s="1"/>
  <c r="M709" i="2"/>
  <c r="M708" i="2" s="1"/>
  <c r="L324" i="2"/>
  <c r="L323" i="2" s="1"/>
  <c r="L322" i="2" s="1"/>
  <c r="E10" i="3"/>
  <c r="L443" i="2"/>
  <c r="E37" i="3"/>
  <c r="M116" i="2"/>
  <c r="M115" i="2" s="1"/>
  <c r="M662" i="2"/>
  <c r="E35" i="3"/>
  <c r="M613" i="2"/>
  <c r="M514" i="2" l="1"/>
  <c r="M443" i="2" s="1"/>
  <c r="M12" i="2"/>
  <c r="K443" i="2"/>
  <c r="K716" i="2" s="1"/>
  <c r="O708" i="2"/>
  <c r="R708" i="2" s="1"/>
  <c r="R716" i="2"/>
  <c r="E27" i="3"/>
  <c r="E82" i="3" s="1"/>
  <c r="L716" i="2"/>
  <c r="R654" i="2" l="1"/>
  <c r="M716" i="2"/>
  <c r="Q642" i="2" l="1"/>
  <c r="R643" i="2"/>
  <c r="Q443" i="2" l="1"/>
  <c r="R443" i="2" s="1"/>
  <c r="R642" i="2"/>
</calcChain>
</file>

<file path=xl/sharedStrings.xml><?xml version="1.0" encoding="utf-8"?>
<sst xmlns="http://schemas.openxmlformats.org/spreadsheetml/2006/main" count="1324" uniqueCount="736">
  <si>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</si>
  <si>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</si>
  <si>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</si>
  <si>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</si>
  <si>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</si>
  <si>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</si>
  <si>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</si>
  <si>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</si>
  <si>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</si>
  <si>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</si>
  <si>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</si>
  <si>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</si>
  <si>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</si>
  <si>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</si>
  <si>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</si>
  <si>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</si>
  <si>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</si>
  <si>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</si>
  <si>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</si>
  <si>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</si>
  <si>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</si>
  <si>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</si>
  <si>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</si>
  <si>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</si>
  <si>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</si>
  <si>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</si>
  <si>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</si>
  <si>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</si>
  <si>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</si>
  <si>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</si>
  <si>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</si>
  <si>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</si>
  <si>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</si>
  <si>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</si>
  <si>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</si>
  <si>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</si>
  <si>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</si>
  <si>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</si>
  <si>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</si>
  <si>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</si>
  <si>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</si>
  <si>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</si>
  <si>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</si>
  <si>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</si>
  <si>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</si>
  <si>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</si>
  <si>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</si>
  <si>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</si>
  <si>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</si>
  <si>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</si>
  <si>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</si>
  <si>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</si>
  <si>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</si>
  <si>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</si>
  <si>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</si>
  <si>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</si>
  <si>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</si>
  <si>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</si>
  <si>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</si>
  <si>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</si>
  <si>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</si>
  <si>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</si>
  <si>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</si>
  <si>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</si>
  <si>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</si>
  <si>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</si>
  <si>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</si>
  <si>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</si>
  <si>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</si>
  <si>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</si>
  <si>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</si>
  <si>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</si>
  <si>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</si>
  <si>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</si>
  <si>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</si>
  <si>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</si>
  <si>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</si>
  <si>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</si>
  <si>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</si>
  <si>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</si>
  <si>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</si>
  <si>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</si>
  <si>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</si>
  <si>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</si>
  <si>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</si>
  <si>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</si>
  <si>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</si>
  <si>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</si>
  <si>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</si>
  <si>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</si>
  <si>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</si>
  <si>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</si>
  <si>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</si>
  <si>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</si>
  <si>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</si>
  <si>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</si>
  <si>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</si>
  <si>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</si>
  <si>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</si>
  <si>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</si>
  <si>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</si>
  <si>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</si>
  <si>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</si>
  <si>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</si>
  <si>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</si>
  <si>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</si>
  <si>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</si>
  <si>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</si>
  <si>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</si>
  <si>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</si>
  <si>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</si>
  <si>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</si>
  <si>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</si>
  <si>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</si>
  <si>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</si>
  <si>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</si>
  <si>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</si>
  <si>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</si>
  <si>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</si>
  <si>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</si>
  <si>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</si>
  <si>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</si>
  <si>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</si>
  <si>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</si>
  <si>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</si>
  <si>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</si>
  <si>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</si>
  <si>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</si>
  <si>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</si>
  <si>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</si>
  <si>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</si>
  <si>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</si>
  <si>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</si>
  <si>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</si>
  <si>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</si>
  <si>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</si>
  <si>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</si>
  <si>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</si>
  <si>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</si>
  <si>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</si>
  <si>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</si>
  <si>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</si>
  <si>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</si>
  <si>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</si>
  <si>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</si>
  <si>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</si>
  <si>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</si>
  <si>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</si>
  <si>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</si>
  <si>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</si>
  <si>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</si>
  <si>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</si>
  <si>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</si>
  <si>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</si>
  <si>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</si>
  <si>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</si>
  <si>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</si>
  <si>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</si>
  <si>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</si>
  <si>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</si>
  <si>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</si>
  <si>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</si>
  <si>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</si>
  <si>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</si>
  <si>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</si>
  <si>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</si>
  <si>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</si>
  <si>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</si>
  <si>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</si>
  <si>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</si>
  <si>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</si>
  <si>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</si>
  <si>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</si>
  <si>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</si>
  <si>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</si>
  <si>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</si>
  <si>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</si>
  <si>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</si>
  <si>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</si>
  <si>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</si>
  <si>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</si>
  <si>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</si>
  <si>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</si>
  <si>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</si>
  <si>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</si>
  <si>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</si>
  <si>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</si>
  <si>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</si>
  <si>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</si>
  <si>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</si>
  <si>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</si>
  <si>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</si>
  <si>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</si>
  <si>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</si>
  <si>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</si>
  <si>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</si>
  <si>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</si>
  <si>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</si>
  <si>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</si>
  <si>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</si>
  <si>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</si>
  <si>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</si>
  <si>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</si>
  <si>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</si>
  <si>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</si>
  <si>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</si>
  <si>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</si>
  <si>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</si>
  <si>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</si>
  <si>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</si>
  <si>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</si>
  <si>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</si>
  <si>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</si>
  <si>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</si>
  <si>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</si>
  <si>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</si>
  <si>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</si>
  <si>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</si>
  <si>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</si>
  <si>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</si>
  <si>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</si>
  <si>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</si>
  <si>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</si>
  <si>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</si>
  <si>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</si>
  <si>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</si>
  <si>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</si>
  <si>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</si>
  <si>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</si>
  <si>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</si>
  <si>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</si>
  <si>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</si>
  <si>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</si>
  <si>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</si>
  <si>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</si>
  <si>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</si>
  <si>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</si>
  <si>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</si>
  <si>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</si>
  <si>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</si>
  <si>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</si>
  <si>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</si>
  <si>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</si>
  <si>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</si>
  <si>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</si>
  <si>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</si>
  <si>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</si>
  <si>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</si>
  <si>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</si>
  <si>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</si>
  <si>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</si>
  <si>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</si>
  <si>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</si>
  <si>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</si>
  <si>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</si>
  <si>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</si>
  <si>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</si>
  <si>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14.0.00.00000</t>
  </si>
  <si>
    <t>14.1.00.00000</t>
  </si>
  <si>
    <t>14.1.01.00000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</si>
  <si>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</si>
  <si>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</si>
  <si>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</si>
  <si>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</si>
  <si>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</si>
  <si>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</si>
  <si>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</si>
  <si>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</si>
  <si>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</si>
  <si>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</si>
  <si>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</si>
  <si>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</si>
  <si>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</si>
  <si>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</si>
  <si>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</si>
  <si>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</si>
  <si>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</si>
  <si>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</si>
  <si>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</si>
  <si>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</si>
  <si>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</si>
  <si>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</si>
  <si>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</si>
  <si>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</si>
  <si>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</si>
  <si>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</si>
  <si>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</si>
  <si>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</si>
  <si>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</si>
  <si>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</si>
  <si>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</si>
  <si>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</si>
  <si>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</si>
  <si>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</si>
  <si>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</si>
  <si>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</si>
  <si>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</si>
  <si>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</si>
  <si>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</si>
  <si>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</si>
  <si>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</si>
  <si>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</si>
  <si>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</si>
  <si>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</si>
  <si>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</si>
  <si>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</si>
  <si>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</si>
  <si>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</si>
  <si>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</si>
  <si>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</si>
  <si>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</si>
  <si>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</si>
  <si>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</si>
  <si>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</si>
  <si>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</si>
  <si>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</si>
  <si>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</si>
  <si>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</si>
  <si>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</si>
  <si>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</si>
  <si>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</si>
  <si>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</si>
  <si>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</si>
  <si>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</si>
  <si>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</si>
  <si>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</si>
  <si>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</si>
  <si>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</si>
  <si>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</si>
  <si>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</si>
  <si>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</si>
  <si>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</si>
  <si>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</si>
  <si>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</si>
  <si>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</si>
  <si>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</si>
  <si>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</si>
  <si>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</si>
  <si>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</si>
  <si>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08.2.00.00000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</si>
  <si>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</si>
  <si>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</si>
  <si>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</si>
  <si>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</si>
  <si>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</si>
  <si>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</si>
  <si>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</si>
  <si>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</si>
  <si>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</si>
  <si>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</si>
  <si>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</si>
  <si>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</si>
  <si>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</si>
  <si>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</si>
  <si>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</si>
  <si>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</si>
  <si>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</si>
  <si>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</si>
  <si>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</si>
  <si>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</si>
  <si>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</si>
  <si>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</si>
  <si>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</si>
  <si>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</si>
  <si>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</si>
  <si>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</si>
  <si>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</si>
  <si>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</si>
  <si>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</si>
  <si>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</si>
  <si>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</si>
  <si>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</si>
  <si>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</si>
  <si>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</si>
  <si>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</si>
  <si>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</si>
  <si>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</si>
  <si>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</si>
  <si>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</si>
  <si>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</si>
  <si>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</si>
  <si>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</si>
  <si>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</si>
  <si>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</si>
  <si>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</si>
  <si>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</si>
  <si>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</si>
  <si>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</si>
  <si>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</si>
  <si>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</si>
  <si>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</si>
  <si>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</si>
  <si>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</si>
  <si>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</si>
  <si>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</si>
  <si>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</si>
  <si>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</si>
  <si>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</si>
  <si>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</si>
  <si>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</si>
  <si>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</si>
  <si>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</si>
  <si>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</si>
  <si>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</si>
  <si>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</si>
  <si>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</si>
  <si>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</si>
  <si>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</si>
  <si>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</si>
  <si>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</si>
  <si>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</si>
  <si>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</si>
  <si>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</si>
  <si>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</si>
  <si>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</si>
  <si>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</si>
  <si>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</si>
  <si>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</si>
  <si>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</si>
  <si>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</si>
  <si>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</si>
  <si>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</si>
  <si>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</si>
  <si>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</si>
  <si>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</si>
  <si>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</si>
  <si>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</si>
  <si>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</si>
  <si>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</si>
  <si>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</si>
  <si>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Обеспечение территориальной доступности товаров для сельского населения путем оказания муниципальной поддержки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</si>
  <si>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</si>
  <si>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</si>
  <si>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</si>
  <si>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</si>
  <si>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</si>
  <si>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</si>
  <si>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</si>
  <si>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</si>
  <si>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</si>
  <si>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</si>
  <si>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</si>
  <si>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</si>
  <si>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</si>
  <si>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</si>
  <si>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</si>
  <si>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</si>
  <si>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</si>
  <si>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</si>
  <si>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</si>
  <si>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</si>
  <si>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</si>
  <si>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</si>
  <si>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</si>
  <si>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</si>
  <si>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</si>
  <si>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</si>
  <si>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</si>
  <si>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</si>
  <si>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</si>
  <si>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</si>
  <si>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</si>
  <si>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</si>
  <si>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</si>
  <si>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</si>
  <si>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</si>
  <si>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</si>
  <si>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</si>
  <si>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</si>
  <si>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</si>
  <si>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</si>
  <si>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</si>
  <si>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</si>
  <si>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</si>
  <si>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</si>
  <si>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</si>
  <si>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</si>
  <si>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</si>
  <si>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</si>
  <si>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</si>
  <si>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</si>
  <si>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</si>
  <si>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</si>
  <si>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</si>
  <si>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</si>
  <si>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</si>
  <si>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</si>
  <si>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</si>
  <si>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</si>
  <si>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</si>
  <si>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</si>
  <si>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</si>
  <si>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</si>
  <si>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</si>
  <si>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</si>
  <si>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</si>
  <si>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</si>
  <si>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Участие в региональном проекте "Современная школа"</t>
  </si>
  <si>
    <t>12.1.02.76950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</si>
  <si>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</si>
  <si>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Дотации поселениям  муниципального района на выравнивание бюджетной обеспеченности за счет средств бюджета района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</si>
  <si>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</si>
  <si>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</si>
  <si>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</si>
  <si>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</si>
  <si>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</si>
  <si>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</si>
  <si>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</si>
  <si>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</si>
  <si>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</si>
  <si>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</si>
  <si>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</si>
  <si>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</si>
  <si>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</si>
  <si>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</si>
  <si>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</si>
  <si>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</si>
  <si>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</si>
  <si>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</si>
  <si>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</si>
  <si>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</si>
  <si>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</si>
  <si>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</si>
  <si>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</si>
  <si>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</si>
  <si>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</si>
  <si>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</si>
  <si>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</si>
  <si>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</si>
  <si>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</si>
  <si>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</si>
  <si>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</si>
  <si>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</si>
  <si>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</si>
  <si>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</si>
  <si>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</si>
  <si>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</si>
  <si>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</si>
  <si>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</si>
  <si>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</si>
  <si>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</si>
  <si>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</si>
  <si>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</si>
  <si>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Вид расхо дов</t>
  </si>
  <si>
    <t>Изменения</t>
  </si>
  <si>
    <t>Развитие материально-технической базы библиотек Первомайского муниципального района</t>
  </si>
  <si>
    <t xml:space="preserve">Мероприятия по развитию материально-технической базы библиотек </t>
  </si>
  <si>
    <t>11.2.01.0000</t>
  </si>
  <si>
    <t>11.2.01.60070</t>
  </si>
  <si>
    <t>17.1.01.62880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</si>
  <si>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</si>
  <si>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</si>
  <si>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</si>
  <si>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</si>
  <si>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</si>
  <si>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</si>
  <si>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</si>
  <si>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</si>
  <si>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18.1.02.62440</t>
  </si>
  <si>
    <t>Реализация мероприятий по модернизации объектов теплоснабжения</t>
  </si>
  <si>
    <t>21.1.01.65120</t>
  </si>
  <si>
    <t>Муниципальная программа  "Развитие дорожного хозяйства и транспорта в Первомайском муниципальном районе на 2022-2024 годы"</t>
  </si>
  <si>
    <t>Подпрограмма "Развитие сети автомобильных дорог общего пользования местного значения Первомайского муниципального района на 2022-2024 годы"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</si>
  <si>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</si>
  <si>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</si>
  <si>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Муниципальная программа "Развитие культуры в Первомайском муниципальном районе на 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</si>
  <si>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</si>
  <si>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</si>
  <si>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</si>
  <si>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</si>
  <si>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</si>
  <si>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</si>
  <si>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</si>
  <si>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</si>
  <si>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02.1.04.00000</t>
  </si>
  <si>
    <t>02.1.04.75350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</si>
  <si>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</si>
  <si>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</si>
  <si>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</si>
  <si>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</si>
  <si>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</si>
  <si>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</si>
  <si>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</si>
  <si>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08.2.01.60710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</si>
  <si>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</si>
  <si>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</si>
  <si>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</si>
  <si>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</si>
  <si>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</si>
  <si>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</si>
  <si>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</si>
  <si>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</si>
  <si>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08.3.02.00000</t>
  </si>
  <si>
    <t>08.3.02.60730</t>
  </si>
  <si>
    <t>08.4.01.60740</t>
  </si>
  <si>
    <t>Создание условий для обеспечения противодействия коррупции на территории Первомайского муниципального района</t>
  </si>
  <si>
    <t>Профилактика терроризмана территории Первомайского муниципального района</t>
  </si>
  <si>
    <t>13.1.01.61460</t>
  </si>
  <si>
    <t>Поддержка сельскохозяйственного производства в части организационных мероприятий</t>
  </si>
  <si>
    <t>Создание  благоприятных условий для проживания граждан</t>
  </si>
  <si>
    <t>11.1.А2.55193</t>
  </si>
  <si>
    <t>11.1.А2.00000</t>
  </si>
  <si>
    <t>18.1.03.70620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</si>
  <si>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</si>
  <si>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</si>
  <si>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18.1.03.00000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</si>
  <si>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</si>
  <si>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</si>
  <si>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</si>
  <si>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</si>
  <si>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</si>
  <si>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Подпрограмма "Общепрограммные расходы муниципальной программы "Поддержка потребительского рынка на селе" на 2022-2024 годы"</t>
  </si>
  <si>
    <t>Муниципальная программа "Поддержка потребительского рынка на селе" на 2022-2024 годы</t>
  </si>
  <si>
    <t>Развитие материально-технической базы общеобразовательных организаций для организации питания обучающихся в рамках софинансирования</t>
  </si>
  <si>
    <t>Развитие материально-технической базы общеобразовательных организаций для организации питания обучающихся за счет субсидии из областного бюджета</t>
  </si>
  <si>
    <t>02.1.01.60370</t>
  </si>
  <si>
    <t>02.1.01.70370</t>
  </si>
  <si>
    <t>Государственная поддержка отдельных категорий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</si>
  <si>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03.1.01.75880</t>
  </si>
  <si>
    <t>11.1.01.61080</t>
  </si>
  <si>
    <t>Проведение мероприятий в рамках празднования Года культурного наследия народов России</t>
  </si>
  <si>
    <t>21.1.01.55490</t>
  </si>
  <si>
    <t>Поощрение муниципальных управленческих команд за достижение показателей деятельности</t>
  </si>
  <si>
    <t>Мероприятия по реализации  подпрограммы «Улучшение условий и охраны труда  по Первомайскому муниципальному району» на 2023-2025 годы</t>
  </si>
  <si>
    <t>Подпрограмма «Улучшение условий и охраны труда  по Первомайскому муниципальному району» на 2023-2025 годы</t>
  </si>
  <si>
    <t>Муниципальная программа «Семья и дети» на 2022-2024 годы</t>
  </si>
  <si>
    <t>Подпрограмма «Общепрограммные расходы муниципальной программы «Семья и дети» на 2022-2024 годы»</t>
  </si>
  <si>
    <t>Реализация мероприятий подпрограммы «Общепрограммные расходы муниципальной программы «Семья и дети» на 2022-2024 годы»</t>
  </si>
  <si>
    <t xml:space="preserve">Муниципальная программа  «Обеспечение общественного порядка и противодействие
преступности на территории Первомайского муниципального района» на 2021-2023 годы
</t>
  </si>
  <si>
    <t>Подпрограмма «Профилактика безнадзорности, правонарушений и защита прав несовершеннолетних Первомайского муниципального района» на 2021-2023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</si>
  <si>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2021-2023 годы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</si>
  <si>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</si>
  <si>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</si>
  <si>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</si>
  <si>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«Развитие культуры  в Первомайском муниципальном районе» на 2022-2025 годы</t>
  </si>
  <si>
    <t>Подпрограмма «Ведомственная целевая программа «Развитие культуры в Первомайском муниципальном районе»»на 2022-2025 годы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</si>
  <si>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</si>
  <si>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</si>
  <si>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</si>
  <si>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«Развитие образования в Первомайском муниципальном районе» на 2023-2025 годы</t>
  </si>
  <si>
    <t>Подпрограмма «Общепрограммные расходы муниципальной программы «Развитие образования в Первомайском муниципальном районе» на 2023-2025 годы»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</si>
  <si>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</si>
  <si>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</si>
  <si>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</si>
  <si>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2023-2025 годы</t>
  </si>
  <si>
    <t>Подпрограмма «Выравнивание уровня бюджетной обеспеченности поселений Первомайского муниципального района» на 2023-2025 годы</t>
  </si>
  <si>
    <t>Подпрограмма «Повышение эффективности управления муниципальными финансами Первомайского муниципального района» на 2023-2025 годы</t>
  </si>
  <si>
    <t>Муниципальная программа  «Социальная поддержка населения Первомайского муниципального района» на 2023-2025 годы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</si>
  <si>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района» на 2023-2025 годы</t>
  </si>
  <si>
    <t>Муниципальная программа  «Развитие дорожного хозяйства и транспорта в Первомайском муниципальном районе» на 2023-2025 годы</t>
  </si>
  <si>
    <t>Подпрограмма «Транспортное обслуживание населения Первомайского муниципального района на 2023-2025 годы»</t>
  </si>
  <si>
    <t>Подпрограмма «Поддержка социально ориентированных не коммерческих организаций Первомайского муниципального района» на 2023-2025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</si>
  <si>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2023-2025 годы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</si>
  <si>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</si>
  <si>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</si>
  <si>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</si>
  <si>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Подпрограмма «Профилактика правонарушений на территории Первомайского муниципального района» на 2021-2023 годы</t>
  </si>
  <si>
    <t>Подпрограмма «Профилактика терроризма и экстремизма на территории Первомайского муниципального района» на 2021-2023 годы</t>
  </si>
  <si>
    <t>Подпрограмма «Противодействие коррупции в Первомайском муниципальном районе» на 2021-2023 годы</t>
  </si>
  <si>
    <t>Подрограмма «Развитие библиотечного обслуживания населения и материально-технической базы библиотек» на 2022-2025 годы</t>
  </si>
  <si>
    <t>Муниципальная программа «Развитие физической культуры и спорта в Первомайском муниципальном районе» на 2023-2025 годы</t>
  </si>
  <si>
    <t>Подпрограмма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</si>
  <si>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Реализация мероприятий Подпрограммы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</si>
  <si>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Муниципальная программа «Газификация и модернизация жилищно-коммунального хозяйства Первомайского муниципального района» на 2018-2024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</si>
  <si>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2018-2024 годы»</t>
  </si>
  <si>
    <t>Муниципальная программа «Эффективная власть в Первомайском муниципальном районе» на 2023-2025 годы</t>
  </si>
  <si>
    <t xml:space="preserve"> Подпрограмма «Развитие муниципальной службы в Первомайском муниципальном районе» на 2023-2025 годы</t>
  </si>
  <si>
    <t>Реализация мероприятий Подпрограммы «Развитие муниципальной службы в Первомайском муниципальном районе» на 2023-2025 годы</t>
  </si>
  <si>
    <t>Подпрограмма 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</si>
  <si>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Реализация мероприятий Подпрограммы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</si>
  <si>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</si>
  <si>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</si>
  <si>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</si>
  <si>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</si>
  <si>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</si>
  <si>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2023-2025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</si>
  <si>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2023-2025 годы</t>
  </si>
  <si>
    <t>Муниципальная программа «Развитие сельского хозяйства в Первомайском муниципальном районе» в 2022-2024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</si>
  <si>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2022-2024 годах</t>
  </si>
  <si>
    <t>Муниципальная программа «Энергосбережение и повышение энергоэффективности в Первомайском муниципальном районе» на 2023 -2025 годы</t>
  </si>
  <si>
    <t>Подпрграмма «Общепрограммные расходы муниципальной программы «Энергосбережение и повышение энергоэффективности в Первомайском муниципальном районе» на 2023 -2025 годы»</t>
  </si>
  <si>
    <t>02.1.01.71460</t>
  </si>
  <si>
    <t xml:space="preserve"> Организация образовательного процесса</t>
  </si>
  <si>
    <t xml:space="preserve">Реализация мероприятий по развитию сельскохозяйственного производства 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</si>
  <si>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</si>
  <si>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</si>
  <si>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Расходы на обеспечение государственных полномочий по организации деятельности территориальных комиссий по делам несовершеннолетних и защите их прав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</si>
  <si>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в рамках софинансирования</t>
  </si>
  <si>
    <t>24.1.01.67350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</si>
  <si>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за счет субсидии из областного бюджета</t>
  </si>
  <si>
    <t>24.1.01.77350</t>
  </si>
  <si>
    <t>Модернизация объектов теплоснабжения (перевод котельных на газовое топливо)(строительство, реконструкция котельных с вводом их в эксплуатацию)</t>
  </si>
  <si>
    <t>16.0.00.00000</t>
  </si>
  <si>
    <t>16.1.00.00000</t>
  </si>
  <si>
    <t>16.1.01.00000</t>
  </si>
  <si>
    <t>16.1.01.61500</t>
  </si>
  <si>
    <t>Реализация мероприятий подпрограммы "Общепрограммные расходы муниципальной программы "Обеспечение качественными коммунальными услугами населения Первомайского муниципального района" на 2023 год</t>
  </si>
  <si>
    <t>Надежное обеспечение потребителей коммунальными услугами</t>
  </si>
  <si>
    <t>Подпрограмма "Общепрограммные расходы муниципальной программы "Обеспечение качественными коммунальными услугами населения Первомайского муниципального района" на 2023 год</t>
  </si>
  <si>
    <t>Муниципальная программа "Обеспечение качественными коммунальными услугами населения Первомайского муниципального района" на 2023 год</t>
  </si>
  <si>
    <t>Реализация мероприятий по капитальному ремонту и ремонту дорожных объектов муниципальной собственности за счет средств областного бюджета</t>
  </si>
  <si>
    <t>Межбюджетные трансферты, передаваемые бюджетам поселений на осуществление части полномочий в соответствии с заключенными соглашениями</t>
  </si>
  <si>
    <t>50.0.00.65130</t>
  </si>
  <si>
    <t>50.0.00.65120</t>
  </si>
  <si>
    <t>Расходы за счет дотации, предусмотренной нормативно-правовыми актами органов государственной власти ЯО</t>
  </si>
  <si>
    <t>02.1.01.72060</t>
  </si>
  <si>
    <t>Расходы на повышение антитеррористической защищенности объектов образования</t>
  </si>
  <si>
    <t>02.1.01.73260</t>
  </si>
  <si>
    <t>Расходы за счет дотации, предусмотренной нормативно-правовыми сктами органов государственной власти ЯО</t>
  </si>
  <si>
    <t>02.1.EВ.00000</t>
  </si>
  <si>
    <t>02.1.EВ.51791</t>
  </si>
  <si>
    <t>Региональный проект "Патритическое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</si>
  <si>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объединениями в общеобразовательных организациях</t>
  </si>
  <si>
    <t>03.1.03.73260</t>
  </si>
  <si>
    <t>24.1.01.61870</t>
  </si>
  <si>
    <t>Иной межбюджетный трансферт на капитальный ремонт участка автомобильной дороги ул.Ярославская протяженностью 2,040 км в п.Пречистое Первомайского МР ЯО</t>
  </si>
  <si>
    <t>24.1.01.75620</t>
  </si>
  <si>
    <t>24.1.01.65620</t>
  </si>
  <si>
    <t>Реализация мероприятий по капитальному ремонту и ремонту дорожных объектов муниципальной собственности за счет средств бюджета района в рамках софинансирования</t>
  </si>
  <si>
    <t>16.1.01.61510</t>
  </si>
  <si>
    <t>Иной межбюджетный трансферт на возмещение недополученных доходов, связанных с оказанием услуг бань населению</t>
  </si>
  <si>
    <t>24.1.01.61880</t>
  </si>
  <si>
    <t>Иной межбюджетный трансферт на зимнее содержание автомобильных дорог в поселении</t>
  </si>
  <si>
    <t>50.0.00.55490</t>
  </si>
  <si>
    <t>Подпрограмма "Развитие массового спорта и материально-технической базы в Первомайском муниципальном районе" на 2023-2025 годы</t>
  </si>
  <si>
    <t>Развитие спортивной инфраструктуры, популяризация физической культуры и массового спорта в Первомайском муниципальном районе</t>
  </si>
  <si>
    <t>Реализация мероприятий подпрограммы "Развитие массового спорта и материально-технической базы в Первомайском муниципальном районе"</t>
  </si>
  <si>
    <t>13.2.00.00000</t>
  </si>
  <si>
    <t>13.2.01.00000</t>
  </si>
  <si>
    <t>13.2.01.61450</t>
  </si>
  <si>
    <t>Приложение 3</t>
  </si>
  <si>
    <t>к решению Собрания Представителей                                           Первомайского муниципального района                                 от________ 2024 года  № ___</t>
  </si>
  <si>
    <t>Исполнение ведомственной структуры расходов бюджета                                                                                          Первомайского муниципального района за 2023 год</t>
  </si>
  <si>
    <t xml:space="preserve">Утверждено на 2023 год (руб.) </t>
  </si>
  <si>
    <t>Исполнено за 2023 год (руб.)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</si>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</sst>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3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4" fillId="8" borderId="3" xfId="1" applyNumberFormat="1" applyFont="1" applyFill="1" applyBorder="1" applyAlignment="1" applyProtection="1">
      <alignment horizontal="center" vertical="center"/>
      <protection hidden="1"/>
    </xf>
    <xf numFmtId="0" fontId="4" fillId="8" borderId="4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3" fontId="1" fillId="3" borderId="0" xfId="1" applyNumberFormat="1" applyFont="1" applyFill="1"/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0" xfId="1" applyNumberFormat="1" applyFont="1" applyFill="1" applyAlignment="1">
      <alignment vertical="top"/>
    </xf>
    <xf numFmtId="3" fontId="3" fillId="0" borderId="11" xfId="1" applyNumberFormat="1" applyFont="1" applyFill="1" applyBorder="1" applyAlignment="1">
      <alignment horizontal="right" vertical="top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vertical="top" wrapText="1"/>
    </xf>
    <xf numFmtId="0" fontId="20" fillId="0" borderId="0" xfId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4" fillId="0" borderId="7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3" fillId="3" borderId="7" xfId="1" applyNumberFormat="1" applyFont="1" applyFill="1" applyBorder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1" xfId="1" applyNumberFormat="1" applyFont="1" applyFill="1" applyBorder="1" applyAlignment="1" applyProtection="1">
      <alignment horizontal="right" vertical="top"/>
      <protection hidden="1"/>
    </xf>
    <xf numFmtId="49" fontId="7" fillId="0" borderId="1" xfId="0" applyNumberFormat="1" applyFont="1" applyFill="1" applyBorder="1" applyAlignment="1">
      <alignment horizontal="center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1" fillId="3" borderId="1" xfId="1" applyFont="1" applyFill="1" applyBorder="1" applyAlignment="1">
      <alignment vertical="top"/>
    </xf>
    <xf numFmtId="0" fontId="3" fillId="3" borderId="1" xfId="1" applyFont="1" applyFill="1" applyBorder="1" applyAlignment="1">
      <alignment horizontal="center" vertical="top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>
      <alignment vertical="top" wrapText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>
      <alignment horizontal="right" vertical="top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vertical="top" wrapText="1"/>
      <protection hidden="1"/>
    </xf>
    <xf numFmtId="0" fontId="21" fillId="0" borderId="0" xfId="1" applyFont="1" applyFill="1" applyAlignment="1" applyProtection="1">
      <alignment vertical="top"/>
      <protection hidden="1"/>
    </xf>
    <xf numFmtId="0" fontId="2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 applyProtection="1">
      <alignment horizontal="right" vertical="top" wrapText="1"/>
      <protection hidden="1"/>
    </xf>
    <xf numFmtId="4" fontId="2" fillId="0" borderId="1" xfId="1" applyNumberFormat="1" applyFont="1" applyFill="1" applyBorder="1" applyAlignment="1">
      <alignment horizontal="right" vertical="top"/>
    </xf>
    <xf numFmtId="4" fontId="3" fillId="0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 applyProtection="1">
      <alignment horizontal="right" vertical="top"/>
      <protection hidden="1"/>
    </xf>
    <xf numFmtId="4" fontId="3" fillId="0" borderId="1" xfId="1" applyNumberFormat="1" applyFont="1" applyFill="1" applyBorder="1" applyAlignment="1" applyProtection="1">
      <alignment horizontal="right" vertical="top"/>
      <protection hidden="1"/>
    </xf>
    <xf numFmtId="4" fontId="3" fillId="3" borderId="1" xfId="1" applyNumberFormat="1" applyFont="1" applyFill="1" applyBorder="1" applyAlignment="1" applyProtection="1">
      <alignment horizontal="right" vertical="top"/>
      <protection hidden="1"/>
    </xf>
    <xf numFmtId="4" fontId="10" fillId="0" borderId="1" xfId="1" applyNumberFormat="1" applyFont="1" applyFill="1" applyBorder="1" applyAlignment="1" applyProtection="1">
      <alignment horizontal="right" vertical="top"/>
      <protection hidden="1"/>
    </xf>
    <xf numFmtId="4" fontId="4" fillId="0" borderId="1" xfId="1" applyNumberFormat="1" applyFont="1" applyFill="1" applyBorder="1" applyAlignment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  <protection hidden="1"/>
    </xf>
    <xf numFmtId="4" fontId="3" fillId="3" borderId="1" xfId="1" applyNumberFormat="1" applyFont="1" applyFill="1" applyBorder="1" applyAlignment="1">
      <alignment horizontal="right" vertical="top"/>
    </xf>
    <xf numFmtId="4" fontId="10" fillId="0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>
      <alignment vertical="top"/>
    </xf>
    <xf numFmtId="4" fontId="3" fillId="0" borderId="1" xfId="1" applyNumberFormat="1" applyFont="1" applyFill="1" applyBorder="1" applyAlignment="1">
      <alignment vertical="top"/>
    </xf>
    <xf numFmtId="4" fontId="4" fillId="0" borderId="1" xfId="1" applyNumberFormat="1" applyFont="1" applyFill="1" applyBorder="1" applyAlignment="1">
      <alignment vertical="top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1" fillId="0" borderId="0" xfId="1" applyFont="1" applyFill="1" applyAlignment="1" applyProtection="1">
      <alignment horizontal="right" vertical="center"/>
      <protection hidden="1"/>
    </xf>
    <xf numFmtId="0" fontId="21" fillId="0" borderId="0" xfId="1" applyFont="1" applyFill="1" applyAlignment="1" applyProtection="1">
      <alignment horizontal="right" vertical="top" wrapText="1"/>
      <protection hidden="1"/>
    </xf>
    <xf numFmtId="0" fontId="2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left" vertical="top" wrapText="1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center" wrapText="1"/>
      <protection hidden="1"/>
    </xf>
    <xf numFmtId="0" fontId="2" fillId="3" borderId="7" xfId="1" applyNumberFormat="1" applyFont="1" applyFill="1" applyBorder="1" applyAlignment="1" applyProtection="1">
      <alignment horizontal="center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7" xfId="1" applyNumberFormat="1" applyFont="1" applyFill="1" applyBorder="1" applyAlignment="1" applyProtection="1">
      <alignment horizontal="right" vertical="top" wrapText="1"/>
      <protection hidden="1"/>
    </xf>
    <xf numFmtId="3" fontId="2" fillId="3" borderId="13" xfId="1" applyNumberFormat="1" applyFont="1" applyFill="1" applyBorder="1" applyAlignment="1" applyProtection="1">
      <alignment horizontal="right" vertical="top" wrapText="1"/>
      <protection hidden="1"/>
    </xf>
    <xf numFmtId="4" fontId="2" fillId="0" borderId="7" xfId="1" applyNumberFormat="1" applyFont="1" applyFill="1" applyBorder="1" applyAlignment="1" applyProtection="1">
      <alignment horizontal="right" vertical="top" wrapText="1"/>
      <protection hidden="1"/>
    </xf>
    <xf numFmtId="4" fontId="2" fillId="0" borderId="7" xfId="1" applyNumberFormat="1" applyFont="1" applyFill="1" applyBorder="1" applyAlignment="1">
      <alignment horizontal="right" vertical="top"/>
    </xf>
    <xf numFmtId="166" fontId="3" fillId="0" borderId="7" xfId="1" applyNumberFormat="1" applyFont="1" applyFill="1" applyBorder="1" applyAlignment="1">
      <alignment horizontal="right" vertical="top"/>
    </xf>
    <xf numFmtId="0" fontId="21" fillId="0" borderId="17" xfId="1" applyNumberFormat="1" applyFont="1" applyFill="1" applyBorder="1" applyAlignment="1" applyProtection="1">
      <alignment horizontal="center" vertical="center" wrapText="1"/>
      <protection hidden="1"/>
    </xf>
    <xf numFmtId="3" fontId="21" fillId="0" borderId="1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1796875" defaultRowHeight="12.5" x14ac:dyDescent="0.25"/>
  <cols>
    <col min="1" max="1" width="0.1796875" style="33" customWidth="1"/>
    <col min="2" max="2" width="0" style="33" hidden="1" customWidth="1"/>
    <col min="3" max="3" width="8.81640625" style="33" customWidth="1"/>
    <col min="4" max="4" width="60.1796875" style="33" customWidth="1"/>
    <col min="5" max="5" width="17.81640625" style="33" customWidth="1"/>
    <col min="6" max="6" width="0.1796875" style="33" hidden="1" customWidth="1"/>
    <col min="7" max="16384" width="9.1796875" style="33"/>
  </cols>
  <sheetData>
    <row r="1" spans="1:6" ht="15.65" customHeight="1" x14ac:dyDescent="0.35">
      <c r="A1" s="31"/>
      <c r="B1" s="31"/>
      <c r="C1" s="31"/>
      <c r="D1" s="369" t="s">
        <v>97</v>
      </c>
      <c r="E1" s="369"/>
      <c r="F1" s="32" t="s">
        <v>98</v>
      </c>
    </row>
    <row r="2" spans="1:6" ht="15.65" customHeight="1" x14ac:dyDescent="0.35">
      <c r="A2" s="31"/>
      <c r="B2" s="31"/>
      <c r="C2" s="31"/>
      <c r="D2" s="369" t="s">
        <v>99</v>
      </c>
      <c r="E2" s="369"/>
      <c r="F2" s="32"/>
    </row>
    <row r="3" spans="1:6" ht="15.65" customHeight="1" x14ac:dyDescent="0.35">
      <c r="A3" s="31"/>
      <c r="B3" s="31"/>
      <c r="C3" s="31"/>
      <c r="D3" s="367" t="s">
        <v>100</v>
      </c>
      <c r="E3" s="367"/>
      <c r="F3" s="32"/>
    </row>
    <row r="4" spans="1:6" ht="15.65" customHeight="1" x14ac:dyDescent="0.35">
      <c r="A4" s="31"/>
      <c r="B4" s="31"/>
      <c r="C4" s="31"/>
      <c r="D4" s="367" t="s">
        <v>101</v>
      </c>
      <c r="E4" s="367"/>
      <c r="F4" s="32"/>
    </row>
    <row r="5" spans="1:6" ht="15" customHeight="1" x14ac:dyDescent="0.35">
      <c r="A5" s="31"/>
      <c r="B5" s="31"/>
      <c r="C5" s="31"/>
      <c r="D5" s="367" t="s">
        <v>102</v>
      </c>
      <c r="E5" s="367"/>
      <c r="F5" s="32"/>
    </row>
    <row r="6" spans="1:6" ht="15" customHeight="1" x14ac:dyDescent="0.3">
      <c r="A6" s="31"/>
      <c r="B6" s="31"/>
      <c r="C6" s="31"/>
      <c r="D6" s="34"/>
      <c r="E6" s="34"/>
      <c r="F6" s="32"/>
    </row>
    <row r="7" spans="1:6" ht="60" customHeight="1" x14ac:dyDescent="0.35">
      <c r="A7" s="31"/>
      <c r="B7" s="31"/>
      <c r="C7" s="368" t="s">
        <v>103</v>
      </c>
      <c r="D7" s="368"/>
      <c r="E7" s="368"/>
      <c r="F7" s="32"/>
    </row>
    <row r="8" spans="1:6" ht="14.9" customHeight="1" x14ac:dyDescent="0.25">
      <c r="A8" s="32"/>
      <c r="B8" s="32"/>
      <c r="C8" s="32"/>
      <c r="D8" s="32"/>
      <c r="E8" s="32"/>
      <c r="F8" s="32"/>
    </row>
    <row r="9" spans="1:6" ht="31.4" customHeight="1" x14ac:dyDescent="0.35">
      <c r="A9" s="31"/>
      <c r="B9" s="35"/>
      <c r="C9" s="1" t="s">
        <v>104</v>
      </c>
      <c r="D9" s="1" t="s">
        <v>58</v>
      </c>
      <c r="E9" s="1" t="s">
        <v>59</v>
      </c>
      <c r="F9" s="32"/>
    </row>
    <row r="10" spans="1:6" ht="15.5" x14ac:dyDescent="0.35">
      <c r="A10" s="36"/>
      <c r="B10" s="366">
        <v>100</v>
      </c>
      <c r="C10" s="366"/>
      <c r="D10" s="2" t="s">
        <v>105</v>
      </c>
      <c r="E10" s="37" t="e">
        <f>SUM(E11:E18)</f>
        <v>#REF!</v>
      </c>
      <c r="F10" s="38"/>
    </row>
    <row r="11" spans="1:6" ht="31" x14ac:dyDescent="0.35">
      <c r="A11" s="36"/>
      <c r="B11" s="24">
        <v>100</v>
      </c>
      <c r="C11" s="24">
        <v>102</v>
      </c>
      <c r="D11" s="14" t="s">
        <v>106</v>
      </c>
      <c r="E11" s="25">
        <f>'Приложение 6 '!M675</f>
        <v>1565300</v>
      </c>
      <c r="F11" s="38"/>
    </row>
    <row r="12" spans="1:6" ht="46.5" x14ac:dyDescent="0.35">
      <c r="A12" s="36"/>
      <c r="B12" s="24">
        <v>100</v>
      </c>
      <c r="C12" s="24">
        <v>103</v>
      </c>
      <c r="D12" s="14" t="s">
        <v>107</v>
      </c>
      <c r="E12" s="25">
        <f>'Приложение 6 '!M702+'Приложение 6 '!M704</f>
        <v>25000</v>
      </c>
      <c r="F12" s="38"/>
    </row>
    <row r="13" spans="1:6" ht="51.75" customHeight="1" x14ac:dyDescent="0.35">
      <c r="A13" s="36"/>
      <c r="B13" s="24">
        <v>100</v>
      </c>
      <c r="C13" s="24">
        <v>104</v>
      </c>
      <c r="D13" s="14" t="s">
        <v>108</v>
      </c>
      <c r="E13" s="25">
        <f>'Приложение 6 '!M677+'Приложение 6 '!M694</f>
        <v>17385480</v>
      </c>
      <c r="F13" s="38"/>
    </row>
    <row r="14" spans="1:6" ht="14.9" hidden="1" customHeight="1" x14ac:dyDescent="0.3">
      <c r="A14" s="36"/>
      <c r="B14" s="24">
        <v>100</v>
      </c>
      <c r="C14" s="24">
        <v>105</v>
      </c>
      <c r="D14" s="14" t="s">
        <v>109</v>
      </c>
      <c r="E14" s="25"/>
      <c r="F14" s="38"/>
    </row>
    <row r="15" spans="1:6" ht="46.5" x14ac:dyDescent="0.35">
      <c r="A15" s="36"/>
      <c r="B15" s="24">
        <v>100</v>
      </c>
      <c r="C15" s="24">
        <v>106</v>
      </c>
      <c r="D15" s="14" t="s">
        <v>110</v>
      </c>
      <c r="E15" s="25" t="e">
        <f>'Приложение 6 '!M710+'Приложение 6 '!M712+'Приложение 6 '!#REF!</f>
        <v>#REF!</v>
      </c>
      <c r="F15" s="38"/>
    </row>
    <row r="16" spans="1:6" ht="15.65" hidden="1" x14ac:dyDescent="0.3">
      <c r="A16" s="36"/>
      <c r="B16" s="24">
        <v>100</v>
      </c>
      <c r="C16" s="24">
        <v>107</v>
      </c>
      <c r="D16" s="14" t="s">
        <v>111</v>
      </c>
      <c r="E16" s="25"/>
      <c r="F16" s="38"/>
    </row>
    <row r="17" spans="1:6" ht="15.5" x14ac:dyDescent="0.35">
      <c r="A17" s="36"/>
      <c r="B17" s="24">
        <v>100</v>
      </c>
      <c r="C17" s="24">
        <v>111</v>
      </c>
      <c r="D17" s="14" t="s">
        <v>112</v>
      </c>
      <c r="E17" s="25">
        <f>'Приложение 6 '!M685</f>
        <v>200000</v>
      </c>
      <c r="F17" s="38"/>
    </row>
    <row r="18" spans="1:6" ht="15.5" x14ac:dyDescent="0.35">
      <c r="A18" s="36"/>
      <c r="B18" s="24">
        <v>100</v>
      </c>
      <c r="C18" s="24">
        <v>113</v>
      </c>
      <c r="D18" s="14" t="s">
        <v>113</v>
      </c>
      <c r="E18" s="25" t="e">
        <f>'Приложение 6 '!M580+'Приложение 6 '!M590+'Приложение 6 '!M597+'Приложение 6 '!M697+'Приложение 6 '!#REF!</f>
        <v>#REF!</v>
      </c>
      <c r="F18" s="38"/>
    </row>
    <row r="19" spans="1:6" ht="15.5" x14ac:dyDescent="0.35">
      <c r="A19" s="36"/>
      <c r="B19" s="366">
        <v>200</v>
      </c>
      <c r="C19" s="366"/>
      <c r="D19" s="2" t="s">
        <v>114</v>
      </c>
      <c r="E19" s="37" t="e">
        <f>SUM(E20:E21)</f>
        <v>#REF!</v>
      </c>
      <c r="F19" s="38"/>
    </row>
    <row r="20" spans="1:6" ht="15.5" x14ac:dyDescent="0.35">
      <c r="A20" s="36"/>
      <c r="B20" s="24">
        <v>200</v>
      </c>
      <c r="C20" s="24">
        <v>203</v>
      </c>
      <c r="D20" s="14" t="s">
        <v>115</v>
      </c>
      <c r="E20" s="25" t="e">
        <f>'Приложение 6 '!#REF!</f>
        <v>#REF!</v>
      </c>
      <c r="F20" s="38"/>
    </row>
    <row r="21" spans="1:6" ht="15.65" hidden="1" x14ac:dyDescent="0.3">
      <c r="A21" s="36"/>
      <c r="B21" s="24">
        <v>200</v>
      </c>
      <c r="C21" s="24">
        <v>204</v>
      </c>
      <c r="D21" s="14" t="s">
        <v>116</v>
      </c>
      <c r="E21" s="25"/>
      <c r="F21" s="38"/>
    </row>
    <row r="22" spans="1:6" ht="30" x14ac:dyDescent="0.35">
      <c r="A22" s="36"/>
      <c r="B22" s="366">
        <v>300</v>
      </c>
      <c r="C22" s="366"/>
      <c r="D22" s="2" t="s">
        <v>117</v>
      </c>
      <c r="E22" s="37" t="e">
        <f>SUM(E23:E26)</f>
        <v>#REF!</v>
      </c>
      <c r="F22" s="38"/>
    </row>
    <row r="23" spans="1:6" ht="15.5" x14ac:dyDescent="0.35">
      <c r="A23" s="36"/>
      <c r="B23" s="24">
        <v>300</v>
      </c>
      <c r="C23" s="24">
        <v>304</v>
      </c>
      <c r="D23" s="14" t="s">
        <v>118</v>
      </c>
      <c r="E23" s="25">
        <f>'Приложение 6 '!M672</f>
        <v>1543588</v>
      </c>
      <c r="F23" s="38"/>
    </row>
    <row r="24" spans="1:6" ht="35.25" customHeight="1" x14ac:dyDescent="0.35">
      <c r="A24" s="36"/>
      <c r="B24" s="24">
        <v>300</v>
      </c>
      <c r="C24" s="24">
        <v>309</v>
      </c>
      <c r="D24" s="14" t="s">
        <v>119</v>
      </c>
      <c r="E24" s="25" t="e">
        <f>'Приложение 6 '!#REF!+'Приложение 6 '!#REF!</f>
        <v>#REF!</v>
      </c>
      <c r="F24" s="38"/>
    </row>
    <row r="25" spans="1:6" ht="15.65" hidden="1" x14ac:dyDescent="0.3">
      <c r="A25" s="36"/>
      <c r="B25" s="24">
        <v>300</v>
      </c>
      <c r="C25" s="24">
        <v>310</v>
      </c>
      <c r="D25" s="14" t="s">
        <v>120</v>
      </c>
      <c r="E25" s="25"/>
      <c r="F25" s="38"/>
    </row>
    <row r="26" spans="1:6" ht="31.15" hidden="1" x14ac:dyDescent="0.3">
      <c r="A26" s="36"/>
      <c r="B26" s="24">
        <v>300</v>
      </c>
      <c r="C26" s="24">
        <v>314</v>
      </c>
      <c r="D26" s="14" t="s">
        <v>121</v>
      </c>
      <c r="E26" s="25"/>
      <c r="F26" s="38"/>
    </row>
    <row r="27" spans="1:6" ht="15.5" x14ac:dyDescent="0.35">
      <c r="A27" s="36"/>
      <c r="B27" s="366">
        <v>400</v>
      </c>
      <c r="C27" s="366"/>
      <c r="D27" s="2" t="s">
        <v>122</v>
      </c>
      <c r="E27" s="37" t="e">
        <f>SUM(E28:E37)</f>
        <v>#REF!</v>
      </c>
      <c r="F27" s="38"/>
    </row>
    <row r="28" spans="1:6" ht="15.65" hidden="1" x14ac:dyDescent="0.3">
      <c r="A28" s="36"/>
      <c r="B28" s="24">
        <v>400</v>
      </c>
      <c r="C28" s="24">
        <v>401</v>
      </c>
      <c r="D28" s="14" t="s">
        <v>123</v>
      </c>
      <c r="E28" s="25"/>
      <c r="F28" s="38"/>
    </row>
    <row r="29" spans="1:6" ht="15.65" hidden="1" x14ac:dyDescent="0.3">
      <c r="A29" s="36"/>
      <c r="B29" s="24">
        <v>400</v>
      </c>
      <c r="C29" s="24">
        <v>402</v>
      </c>
      <c r="D29" s="14" t="s">
        <v>124</v>
      </c>
      <c r="E29" s="25"/>
      <c r="F29" s="38"/>
    </row>
    <row r="30" spans="1:6" ht="15.65" hidden="1" x14ac:dyDescent="0.3">
      <c r="A30" s="36"/>
      <c r="B30" s="24">
        <v>400</v>
      </c>
      <c r="C30" s="24">
        <v>404</v>
      </c>
      <c r="D30" s="14" t="s">
        <v>125</v>
      </c>
      <c r="E30" s="25"/>
      <c r="F30" s="38"/>
    </row>
    <row r="31" spans="1:6" ht="15.5" x14ac:dyDescent="0.35">
      <c r="A31" s="36"/>
      <c r="B31" s="24">
        <v>400</v>
      </c>
      <c r="C31" s="24">
        <v>405</v>
      </c>
      <c r="D31" s="14" t="s">
        <v>126</v>
      </c>
      <c r="E31" s="25" t="e">
        <f>'Приложение 6 '!M642</f>
        <v>#REF!</v>
      </c>
      <c r="F31" s="38"/>
    </row>
    <row r="32" spans="1:6" ht="15.65" hidden="1" x14ac:dyDescent="0.3">
      <c r="A32" s="36"/>
      <c r="B32" s="24">
        <v>400</v>
      </c>
      <c r="C32" s="24">
        <v>406</v>
      </c>
      <c r="D32" s="14" t="s">
        <v>127</v>
      </c>
      <c r="E32" s="25"/>
      <c r="F32" s="38"/>
    </row>
    <row r="33" spans="1:6" ht="15.65" hidden="1" x14ac:dyDescent="0.3">
      <c r="A33" s="36"/>
      <c r="B33" s="24">
        <v>400</v>
      </c>
      <c r="C33" s="24">
        <v>407</v>
      </c>
      <c r="D33" s="14" t="s">
        <v>128</v>
      </c>
      <c r="E33" s="25"/>
      <c r="F33" s="38"/>
    </row>
    <row r="34" spans="1:6" ht="15.5" x14ac:dyDescent="0.35">
      <c r="A34" s="36"/>
      <c r="B34" s="24">
        <v>400</v>
      </c>
      <c r="C34" s="24">
        <v>408</v>
      </c>
      <c r="D34" s="14" t="s">
        <v>129</v>
      </c>
      <c r="E34" s="25">
        <f>'Приложение 6 '!M636</f>
        <v>7660000</v>
      </c>
      <c r="F34" s="38"/>
    </row>
    <row r="35" spans="1:6" ht="15.5" x14ac:dyDescent="0.35">
      <c r="A35" s="36"/>
      <c r="B35" s="24">
        <v>400</v>
      </c>
      <c r="C35" s="24">
        <v>409</v>
      </c>
      <c r="D35" s="14" t="s">
        <v>130</v>
      </c>
      <c r="E35" s="25">
        <f>'Приложение 6 '!M614</f>
        <v>28734114</v>
      </c>
      <c r="F35" s="38"/>
    </row>
    <row r="36" spans="1:6" ht="15.65" hidden="1" x14ac:dyDescent="0.3">
      <c r="A36" s="36"/>
      <c r="B36" s="24">
        <v>400</v>
      </c>
      <c r="C36" s="24">
        <v>410</v>
      </c>
      <c r="D36" s="14" t="s">
        <v>131</v>
      </c>
      <c r="E36" s="25"/>
      <c r="F36" s="38"/>
    </row>
    <row r="37" spans="1:6" ht="15.5" x14ac:dyDescent="0.35">
      <c r="A37" s="36"/>
      <c r="B37" s="24">
        <v>400</v>
      </c>
      <c r="C37" s="24">
        <v>412</v>
      </c>
      <c r="D37" s="14" t="s">
        <v>132</v>
      </c>
      <c r="E37" s="25" t="e">
        <f>'Приложение 6 '!#REF!+'Приложение 6 '!#REF!+'Приложение 6 '!#REF!+'Приложение 6 '!M533</f>
        <v>#REF!</v>
      </c>
      <c r="F37" s="38"/>
    </row>
    <row r="38" spans="1:6" ht="15.5" x14ac:dyDescent="0.35">
      <c r="A38" s="36"/>
      <c r="B38" s="366">
        <v>500</v>
      </c>
      <c r="C38" s="366"/>
      <c r="D38" s="2" t="s">
        <v>133</v>
      </c>
      <c r="E38" s="37" t="e">
        <f>SUM(E39:E41)</f>
        <v>#REF!</v>
      </c>
      <c r="F38" s="38"/>
    </row>
    <row r="39" spans="1:6" ht="15.65" hidden="1" x14ac:dyDescent="0.3">
      <c r="A39" s="36"/>
      <c r="B39" s="24">
        <v>500</v>
      </c>
      <c r="C39" s="24">
        <v>501</v>
      </c>
      <c r="D39" s="14" t="s">
        <v>134</v>
      </c>
      <c r="E39" s="25"/>
      <c r="F39" s="38"/>
    </row>
    <row r="40" spans="1:6" ht="15.5" x14ac:dyDescent="0.35">
      <c r="A40" s="36"/>
      <c r="B40" s="24">
        <v>500</v>
      </c>
      <c r="C40" s="24">
        <v>502</v>
      </c>
      <c r="D40" s="14" t="s">
        <v>135</v>
      </c>
      <c r="E40" s="25" t="e">
        <f>'Приложение 6 '!M515+'Приложение 6 '!#REF!+'Приложение 6 '!#REF!+'Приложение 6 '!#REF!</f>
        <v>#REF!</v>
      </c>
      <c r="F40" s="38"/>
    </row>
    <row r="41" spans="1:6" ht="31.15" hidden="1" x14ac:dyDescent="0.3">
      <c r="A41" s="36"/>
      <c r="B41" s="24">
        <v>500</v>
      </c>
      <c r="C41" s="24">
        <v>505</v>
      </c>
      <c r="D41" s="14" t="s">
        <v>136</v>
      </c>
      <c r="E41" s="25"/>
      <c r="F41" s="38"/>
    </row>
    <row r="42" spans="1:6" ht="15.65" hidden="1" x14ac:dyDescent="0.3">
      <c r="A42" s="36"/>
      <c r="B42" s="366">
        <v>600</v>
      </c>
      <c r="C42" s="366"/>
      <c r="D42" s="2" t="s">
        <v>137</v>
      </c>
      <c r="E42" s="37"/>
      <c r="F42" s="38"/>
    </row>
    <row r="43" spans="1:6" ht="31.15" hidden="1" x14ac:dyDescent="0.3">
      <c r="A43" s="36"/>
      <c r="B43" s="24">
        <v>600</v>
      </c>
      <c r="C43" s="24">
        <v>603</v>
      </c>
      <c r="D43" s="14" t="s">
        <v>138</v>
      </c>
      <c r="E43" s="25"/>
      <c r="F43" s="38"/>
    </row>
    <row r="44" spans="1:6" ht="15.65" hidden="1" x14ac:dyDescent="0.3">
      <c r="A44" s="36"/>
      <c r="B44" s="24">
        <v>600</v>
      </c>
      <c r="C44" s="24">
        <v>605</v>
      </c>
      <c r="D44" s="14" t="s">
        <v>139</v>
      </c>
      <c r="E44" s="25"/>
      <c r="F44" s="38"/>
    </row>
    <row r="45" spans="1:6" ht="15.5" x14ac:dyDescent="0.35">
      <c r="A45" s="36"/>
      <c r="B45" s="366">
        <v>700</v>
      </c>
      <c r="C45" s="366"/>
      <c r="D45" s="2" t="s">
        <v>140</v>
      </c>
      <c r="E45" s="37" t="e">
        <f>SUM(E46:E51)</f>
        <v>#REF!</v>
      </c>
      <c r="F45" s="38"/>
    </row>
    <row r="46" spans="1:6" ht="15.5" x14ac:dyDescent="0.35">
      <c r="A46" s="36"/>
      <c r="B46" s="24">
        <v>700</v>
      </c>
      <c r="C46" s="24">
        <v>701</v>
      </c>
      <c r="D46" s="14" t="s">
        <v>141</v>
      </c>
      <c r="E46" s="25" t="e">
        <f>'Приложение 6 '!M156+'Приложение 6 '!#REF!+'Приложение 6 '!#REF!+'Приложение 6 '!#REF!+'Приложение 6 '!#REF!+'Приложение 6 '!#REF!</f>
        <v>#REF!</v>
      </c>
      <c r="F46" s="38"/>
    </row>
    <row r="47" spans="1:6" ht="15.5" x14ac:dyDescent="0.35">
      <c r="A47" s="36"/>
      <c r="B47" s="24">
        <v>700</v>
      </c>
      <c r="C47" s="24">
        <v>702</v>
      </c>
      <c r="D47" s="14" t="s">
        <v>142</v>
      </c>
      <c r="E47" s="25" t="e">
        <f>'Приложение 6 '!M160+'Приложение 6 '!M164+'Приложение 6 '!#REF!+'Приложение 6 '!#REF!+'Приложение 6 '!#REF!+'Приложение 6 '!#REF!+'Приложение 6 '!M201+'Приложение 6 '!#REF!+'Приложение 6 '!#REF!+'Приложение 6 '!M207+'Приложение 6 '!#REF!</f>
        <v>#REF!</v>
      </c>
      <c r="F47" s="38"/>
    </row>
    <row r="48" spans="1:6" ht="15.65" hidden="1" x14ac:dyDescent="0.3">
      <c r="A48" s="36"/>
      <c r="B48" s="24">
        <v>700</v>
      </c>
      <c r="C48" s="24">
        <v>704</v>
      </c>
      <c r="D48" s="14" t="s">
        <v>143</v>
      </c>
      <c r="E48" s="25"/>
      <c r="F48" s="38"/>
    </row>
    <row r="49" spans="1:6" ht="31.15" hidden="1" x14ac:dyDescent="0.3">
      <c r="A49" s="36"/>
      <c r="B49" s="24">
        <v>700</v>
      </c>
      <c r="C49" s="24">
        <v>705</v>
      </c>
      <c r="D49" s="14" t="s">
        <v>144</v>
      </c>
      <c r="E49" s="25"/>
      <c r="F49" s="38"/>
    </row>
    <row r="50" spans="1:6" ht="15.5" x14ac:dyDescent="0.35">
      <c r="A50" s="36"/>
      <c r="B50" s="24">
        <v>700</v>
      </c>
      <c r="C50" s="24">
        <v>707</v>
      </c>
      <c r="D50" s="14" t="s">
        <v>145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5" x14ac:dyDescent="0.35">
      <c r="A51" s="36"/>
      <c r="B51" s="24">
        <v>700</v>
      </c>
      <c r="C51" s="24">
        <v>709</v>
      </c>
      <c r="D51" s="14" t="s">
        <v>146</v>
      </c>
      <c r="E51" s="25" t="e">
        <f>'Приложение 6 '!M167+'Приложение 6 '!#REF!+'Приложение 6 '!#REF!+'Приложение 6 '!#REF!</f>
        <v>#REF!</v>
      </c>
      <c r="F51" s="38"/>
    </row>
    <row r="52" spans="1:6" ht="15.5" x14ac:dyDescent="0.35">
      <c r="A52" s="36"/>
      <c r="B52" s="366">
        <v>800</v>
      </c>
      <c r="C52" s="366"/>
      <c r="D52" s="2" t="s">
        <v>147</v>
      </c>
      <c r="E52" s="37" t="e">
        <f>SUM(E53:E54)</f>
        <v>#REF!</v>
      </c>
      <c r="F52" s="38"/>
    </row>
    <row r="53" spans="1:6" ht="15.5" x14ac:dyDescent="0.35">
      <c r="A53" s="36"/>
      <c r="B53" s="24">
        <v>800</v>
      </c>
      <c r="C53" s="24">
        <v>801</v>
      </c>
      <c r="D53" s="14" t="s">
        <v>148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5" x14ac:dyDescent="0.35">
      <c r="A54" s="36"/>
      <c r="B54" s="24">
        <v>800</v>
      </c>
      <c r="C54" s="24">
        <v>804</v>
      </c>
      <c r="D54" s="14" t="s">
        <v>149</v>
      </c>
      <c r="E54" s="25" t="e">
        <f>'Приложение 6 '!#REF!+'Приложение 6 '!#REF!</f>
        <v>#REF!</v>
      </c>
      <c r="F54" s="38"/>
    </row>
    <row r="55" spans="1:6" ht="15.65" hidden="1" x14ac:dyDescent="0.3">
      <c r="A55" s="36"/>
      <c r="B55" s="366">
        <v>900</v>
      </c>
      <c r="C55" s="366"/>
      <c r="D55" s="2" t="s">
        <v>150</v>
      </c>
      <c r="E55" s="37"/>
      <c r="F55" s="38"/>
    </row>
    <row r="56" spans="1:6" ht="15.65" hidden="1" x14ac:dyDescent="0.3">
      <c r="A56" s="36"/>
      <c r="B56" s="24">
        <v>900</v>
      </c>
      <c r="C56" s="24">
        <v>901</v>
      </c>
      <c r="D56" s="14" t="s">
        <v>151</v>
      </c>
      <c r="E56" s="25"/>
      <c r="F56" s="38"/>
    </row>
    <row r="57" spans="1:6" ht="15.65" hidden="1" x14ac:dyDescent="0.3">
      <c r="A57" s="36"/>
      <c r="B57" s="24">
        <v>900</v>
      </c>
      <c r="C57" s="24">
        <v>902</v>
      </c>
      <c r="D57" s="14" t="s">
        <v>152</v>
      </c>
      <c r="E57" s="25"/>
      <c r="F57" s="38"/>
    </row>
    <row r="58" spans="1:6" ht="15.65" hidden="1" x14ac:dyDescent="0.3">
      <c r="A58" s="36"/>
      <c r="B58" s="24">
        <v>900</v>
      </c>
      <c r="C58" s="24">
        <v>903</v>
      </c>
      <c r="D58" s="14" t="s">
        <v>153</v>
      </c>
      <c r="E58" s="25"/>
      <c r="F58" s="38"/>
    </row>
    <row r="59" spans="1:6" ht="15.65" hidden="1" x14ac:dyDescent="0.3">
      <c r="A59" s="36"/>
      <c r="B59" s="24">
        <v>900</v>
      </c>
      <c r="C59" s="24">
        <v>904</v>
      </c>
      <c r="D59" s="14" t="s">
        <v>154</v>
      </c>
      <c r="E59" s="25"/>
      <c r="F59" s="38"/>
    </row>
    <row r="60" spans="1:6" ht="15.65" hidden="1" x14ac:dyDescent="0.3">
      <c r="A60" s="36"/>
      <c r="B60" s="24">
        <v>900</v>
      </c>
      <c r="C60" s="24">
        <v>905</v>
      </c>
      <c r="D60" s="14" t="s">
        <v>155</v>
      </c>
      <c r="E60" s="25"/>
      <c r="F60" s="38"/>
    </row>
    <row r="61" spans="1:6" ht="31.15" hidden="1" x14ac:dyDescent="0.3">
      <c r="A61" s="36"/>
      <c r="B61" s="24">
        <v>900</v>
      </c>
      <c r="C61" s="24">
        <v>906</v>
      </c>
      <c r="D61" s="14" t="s">
        <v>156</v>
      </c>
      <c r="E61" s="25"/>
      <c r="F61" s="38"/>
    </row>
    <row r="62" spans="1:6" ht="15.65" hidden="1" x14ac:dyDescent="0.3">
      <c r="A62" s="36"/>
      <c r="B62" s="24">
        <v>900</v>
      </c>
      <c r="C62" s="24">
        <v>909</v>
      </c>
      <c r="D62" s="14" t="s">
        <v>157</v>
      </c>
      <c r="E62" s="25"/>
      <c r="F62" s="38"/>
    </row>
    <row r="63" spans="1:6" ht="15.5" x14ac:dyDescent="0.35">
      <c r="A63" s="36"/>
      <c r="B63" s="366">
        <v>1000</v>
      </c>
      <c r="C63" s="366"/>
      <c r="D63" s="2" t="s">
        <v>158</v>
      </c>
      <c r="E63" s="37" t="e">
        <f>SUM(E64:E68)</f>
        <v>#REF!</v>
      </c>
      <c r="F63" s="38"/>
    </row>
    <row r="64" spans="1:6" ht="15.5" x14ac:dyDescent="0.35">
      <c r="A64" s="36"/>
      <c r="B64" s="24">
        <v>1000</v>
      </c>
      <c r="C64" s="24">
        <v>1001</v>
      </c>
      <c r="D64" s="14" t="s">
        <v>159</v>
      </c>
      <c r="E64" s="25">
        <f>'Приложение 6 '!M347</f>
        <v>1195000</v>
      </c>
      <c r="F64" s="38"/>
    </row>
    <row r="65" spans="1:6" ht="15.5" x14ac:dyDescent="0.35">
      <c r="A65" s="36"/>
      <c r="B65" s="24">
        <v>1000</v>
      </c>
      <c r="C65" s="24">
        <v>1002</v>
      </c>
      <c r="D65" s="14" t="s">
        <v>160</v>
      </c>
      <c r="E65" s="25" t="e">
        <f>'Приложение 6 '!#REF!</f>
        <v>#REF!</v>
      </c>
      <c r="F65" s="38"/>
    </row>
    <row r="66" spans="1:6" ht="15.5" x14ac:dyDescent="0.35">
      <c r="A66" s="36"/>
      <c r="B66" s="24">
        <v>1000</v>
      </c>
      <c r="C66" s="24">
        <v>1003</v>
      </c>
      <c r="D66" s="14" t="s">
        <v>161</v>
      </c>
      <c r="E66" s="25" t="e">
        <f>'Приложение 6 '!M330+'Приложение 6 '!M333+'Приложение 6 '!M349+'Приложение 6 '!M351+'Приложение 6 '!M354+'Приложение 6 '!M362+'Приложение 6 '!M365+'Приложение 6 '!#REF!+'Приложение 6 '!#REF!+'Приложение 6 '!M368+'Приложение 6 '!#REF!+'Приложение 6 '!#REF!+'Приложение 6 '!#REF!+'Приложение 6 '!M640</f>
        <v>#REF!</v>
      </c>
      <c r="F66" s="38"/>
    </row>
    <row r="67" spans="1:6" ht="15.5" x14ac:dyDescent="0.35">
      <c r="A67" s="36"/>
      <c r="B67" s="24">
        <v>1000</v>
      </c>
      <c r="C67" s="24">
        <v>1004</v>
      </c>
      <c r="D67" s="14" t="s">
        <v>162</v>
      </c>
      <c r="E67" s="25" t="e">
        <f>'Приложение 6 '!#REF!+'Приложение 6 '!M196+'Приложение 6 '!M198+'Приложение 6 '!M203+'Приложение 6 '!M336+'Приложение 6 '!M339+'Приложение 6 '!M342+'Приложение 6 '!#REF!+'Приложение 6 '!#REF!+'Приложение 6 '!#REF!+'Приложение 6 '!M465+'Приложение 6 '!#REF!</f>
        <v>#REF!</v>
      </c>
      <c r="F67" s="38"/>
    </row>
    <row r="68" spans="1:6" ht="15.5" x14ac:dyDescent="0.35">
      <c r="A68" s="36"/>
      <c r="B68" s="24">
        <v>1000</v>
      </c>
      <c r="C68" s="24">
        <v>1006</v>
      </c>
      <c r="D68" s="14" t="s">
        <v>163</v>
      </c>
      <c r="E68" s="25" t="e">
        <f>'Приложение 6 '!#REF!+'Приложение 6 '!M404+'Приложение 6 '!#REF!</f>
        <v>#REF!</v>
      </c>
      <c r="F68" s="38"/>
    </row>
    <row r="69" spans="1:6" ht="15.5" x14ac:dyDescent="0.35">
      <c r="A69" s="36"/>
      <c r="B69" s="366">
        <v>1100</v>
      </c>
      <c r="C69" s="366"/>
      <c r="D69" s="2" t="s">
        <v>164</v>
      </c>
      <c r="E69" s="37">
        <f>SUM(E70:E72)</f>
        <v>0</v>
      </c>
      <c r="F69" s="38"/>
    </row>
    <row r="70" spans="1:6" ht="15.5" x14ac:dyDescent="0.35">
      <c r="A70" s="36"/>
      <c r="B70" s="24">
        <v>1100</v>
      </c>
      <c r="C70" s="24">
        <v>1102</v>
      </c>
      <c r="D70" s="14" t="s">
        <v>165</v>
      </c>
      <c r="E70" s="25">
        <f>'Приложение 6 '!M501</f>
        <v>0</v>
      </c>
      <c r="F70" s="38"/>
    </row>
    <row r="71" spans="1:6" ht="15.65" hidden="1" x14ac:dyDescent="0.3">
      <c r="A71" s="36"/>
      <c r="B71" s="24">
        <v>1100</v>
      </c>
      <c r="C71" s="24">
        <v>1103</v>
      </c>
      <c r="D71" s="14" t="s">
        <v>166</v>
      </c>
      <c r="E71" s="25"/>
      <c r="F71" s="38"/>
    </row>
    <row r="72" spans="1:6" ht="15.65" hidden="1" x14ac:dyDescent="0.3">
      <c r="A72" s="36"/>
      <c r="B72" s="24">
        <v>1100</v>
      </c>
      <c r="C72" s="24">
        <v>1105</v>
      </c>
      <c r="D72" s="14" t="s">
        <v>167</v>
      </c>
      <c r="E72" s="25"/>
      <c r="F72" s="38"/>
    </row>
    <row r="73" spans="1:6" ht="15.5" x14ac:dyDescent="0.35">
      <c r="A73" s="36"/>
      <c r="B73" s="366">
        <v>1200</v>
      </c>
      <c r="C73" s="366"/>
      <c r="D73" s="2" t="s">
        <v>168</v>
      </c>
      <c r="E73" s="37" t="e">
        <f>SUM(E74)</f>
        <v>#REF!</v>
      </c>
      <c r="F73" s="38"/>
    </row>
    <row r="74" spans="1:6" ht="15.5" x14ac:dyDescent="0.35">
      <c r="A74" s="36"/>
      <c r="B74" s="24">
        <v>1200</v>
      </c>
      <c r="C74" s="24">
        <v>1202</v>
      </c>
      <c r="D74" s="14" t="s">
        <v>169</v>
      </c>
      <c r="E74" s="25" t="e">
        <f>'Приложение 6 '!M609+'Приложение 6 '!#REF!</f>
        <v>#REF!</v>
      </c>
      <c r="F74" s="38"/>
    </row>
    <row r="75" spans="1:6" ht="15.5" x14ac:dyDescent="0.35">
      <c r="A75" s="36"/>
      <c r="B75" s="366">
        <v>1300</v>
      </c>
      <c r="C75" s="366"/>
      <c r="D75" s="2" t="s">
        <v>170</v>
      </c>
      <c r="E75" s="37" t="e">
        <f>E76</f>
        <v>#REF!</v>
      </c>
      <c r="F75" s="38"/>
    </row>
    <row r="76" spans="1:6" ht="31" x14ac:dyDescent="0.35">
      <c r="A76" s="36"/>
      <c r="B76" s="24">
        <v>1300</v>
      </c>
      <c r="C76" s="24">
        <v>1301</v>
      </c>
      <c r="D76" s="14" t="s">
        <v>171</v>
      </c>
      <c r="E76" s="25" t="e">
        <f>'Приложение 6 '!#REF!</f>
        <v>#REF!</v>
      </c>
      <c r="F76" s="38"/>
    </row>
    <row r="77" spans="1:6" ht="45" x14ac:dyDescent="0.35">
      <c r="A77" s="36"/>
      <c r="B77" s="366">
        <v>1400</v>
      </c>
      <c r="C77" s="366"/>
      <c r="D77" s="2" t="s">
        <v>172</v>
      </c>
      <c r="E77" s="37" t="e">
        <f>SUM(E78:E80)</f>
        <v>#REF!</v>
      </c>
      <c r="F77" s="38"/>
    </row>
    <row r="78" spans="1:6" ht="46.5" x14ac:dyDescent="0.35">
      <c r="A78" s="36"/>
      <c r="B78" s="24">
        <v>1400</v>
      </c>
      <c r="C78" s="24">
        <v>1401</v>
      </c>
      <c r="D78" s="14" t="s">
        <v>173</v>
      </c>
      <c r="E78" s="25" t="e">
        <f>'Приложение 6 '!#REF!+'Приложение 6 '!#REF!</f>
        <v>#REF!</v>
      </c>
      <c r="F78" s="38"/>
    </row>
    <row r="79" spans="1:6" ht="15.65" hidden="1" x14ac:dyDescent="0.3">
      <c r="A79" s="36"/>
      <c r="B79" s="24">
        <v>1400</v>
      </c>
      <c r="C79" s="24">
        <v>1402</v>
      </c>
      <c r="D79" s="14" t="s">
        <v>174</v>
      </c>
      <c r="E79" s="25"/>
      <c r="F79" s="38"/>
    </row>
    <row r="80" spans="1:6" ht="15.65" hidden="1" x14ac:dyDescent="0.3">
      <c r="A80" s="36"/>
      <c r="B80" s="24">
        <v>1400</v>
      </c>
      <c r="C80" s="24">
        <v>1403</v>
      </c>
      <c r="D80" s="14" t="s">
        <v>175</v>
      </c>
      <c r="E80" s="25"/>
      <c r="F80" s="38"/>
    </row>
    <row r="81" spans="1:6" ht="409.6" hidden="1" customHeight="1" x14ac:dyDescent="0.3">
      <c r="A81" s="31"/>
      <c r="B81" s="3"/>
      <c r="C81" s="3"/>
      <c r="D81" s="14" t="s">
        <v>176</v>
      </c>
      <c r="E81" s="26"/>
      <c r="F81" s="32"/>
    </row>
    <row r="82" spans="1:6" ht="15" customHeight="1" x14ac:dyDescent="0.35">
      <c r="A82" s="31"/>
      <c r="B82" s="35"/>
      <c r="C82" s="365" t="s">
        <v>60</v>
      </c>
      <c r="D82" s="365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3"/>
  <sheetViews>
    <sheetView showGridLines="0" tabSelected="1" view="pageBreakPreview" topLeftCell="A710" zoomScale="85" zoomScaleNormal="100" zoomScaleSheetLayoutView="85" workbookViewId="0">
      <selection activeCell="J19" sqref="J19"/>
    </sheetView>
  </sheetViews>
  <sheetFormatPr defaultColWidth="8.81640625" defaultRowHeight="15.5" x14ac:dyDescent="0.3"/>
  <cols>
    <col min="1" max="1" width="0.1796875" style="8" customWidth="1"/>
    <col min="2" max="6" width="0" style="8" hidden="1" customWidth="1"/>
    <col min="7" max="7" width="48.7265625" style="8" customWidth="1"/>
    <col min="8" max="8" width="7.26953125" style="8" customWidth="1"/>
    <col min="9" max="9" width="14.26953125" style="8" customWidth="1"/>
    <col min="10" max="10" width="6" style="8" customWidth="1"/>
    <col min="11" max="11" width="13.1796875" style="8" hidden="1" customWidth="1"/>
    <col min="12" max="12" width="11.54296875" style="8" hidden="1" customWidth="1"/>
    <col min="13" max="13" width="12.1796875" style="8" hidden="1" customWidth="1"/>
    <col min="14" max="14" width="5.453125" style="8" hidden="1" customWidth="1"/>
    <col min="15" max="15" width="15.6328125" style="30" customWidth="1"/>
    <col min="16" max="16" width="13.1796875" style="247" hidden="1" customWidth="1"/>
    <col min="17" max="17" width="15.36328125" style="8" customWidth="1"/>
    <col min="18" max="18" width="5.90625" style="8" customWidth="1"/>
    <col min="19" max="241" width="9.1796875" style="8" customWidth="1"/>
    <col min="242" max="16384" width="8.81640625" style="8"/>
  </cols>
  <sheetData>
    <row r="1" spans="1:19" ht="27.75" customHeight="1" x14ac:dyDescent="0.35">
      <c r="A1" s="5"/>
      <c r="B1" s="175"/>
      <c r="C1" s="175"/>
      <c r="D1" s="175"/>
      <c r="E1" s="175"/>
      <c r="F1" s="175"/>
      <c r="G1" s="175"/>
      <c r="H1" s="274"/>
      <c r="I1" s="370" t="s">
        <v>730</v>
      </c>
      <c r="J1" s="370"/>
      <c r="K1" s="370"/>
      <c r="L1" s="370"/>
      <c r="M1" s="370"/>
      <c r="N1" s="370"/>
      <c r="O1" s="370"/>
      <c r="P1" s="370"/>
      <c r="Q1" s="370"/>
      <c r="R1" s="370"/>
    </row>
    <row r="2" spans="1:19" ht="62" customHeight="1" x14ac:dyDescent="0.35">
      <c r="A2" s="5"/>
      <c r="B2" s="175"/>
      <c r="C2" s="175"/>
      <c r="D2" s="175"/>
      <c r="E2" s="175"/>
      <c r="F2" s="175"/>
      <c r="G2" s="175"/>
      <c r="H2" s="274"/>
      <c r="I2" s="344"/>
      <c r="J2" s="345"/>
      <c r="K2" s="345"/>
      <c r="L2" s="345"/>
      <c r="M2" s="345"/>
      <c r="N2" s="345"/>
      <c r="O2" s="371" t="s">
        <v>731</v>
      </c>
      <c r="P2" s="371"/>
      <c r="Q2" s="371"/>
      <c r="R2" s="371"/>
    </row>
    <row r="3" spans="1:19" ht="89.5" hidden="1" customHeight="1" x14ac:dyDescent="0.35">
      <c r="A3" s="5"/>
      <c r="B3" s="175"/>
      <c r="C3" s="175"/>
      <c r="D3" s="175"/>
      <c r="E3" s="175"/>
      <c r="F3" s="175"/>
      <c r="G3" s="175"/>
      <c r="H3" s="275"/>
      <c r="I3" s="378"/>
      <c r="J3" s="378"/>
      <c r="K3" s="378"/>
      <c r="L3" s="378"/>
      <c r="M3" s="378"/>
      <c r="N3" s="378"/>
      <c r="O3" s="378"/>
      <c r="P3" s="275"/>
    </row>
    <row r="4" spans="1:19" ht="0.65" hidden="1" customHeight="1" x14ac:dyDescent="0.35">
      <c r="A4" s="5"/>
      <c r="B4" s="175"/>
      <c r="C4" s="175"/>
      <c r="D4" s="175"/>
      <c r="E4" s="175"/>
      <c r="F4" s="175"/>
      <c r="G4" s="175"/>
      <c r="H4" s="175"/>
      <c r="I4" s="379"/>
      <c r="J4" s="379"/>
      <c r="K4" s="379"/>
      <c r="L4" s="379"/>
      <c r="M4" s="379"/>
      <c r="N4" s="220"/>
      <c r="O4" s="22"/>
    </row>
    <row r="5" spans="1:19" ht="14.9" hidden="1" customHeight="1" x14ac:dyDescent="0.3">
      <c r="A5" s="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23"/>
    </row>
    <row r="6" spans="1:19" ht="51.65" customHeight="1" x14ac:dyDescent="0.25">
      <c r="A6" s="9"/>
      <c r="B6" s="9"/>
      <c r="C6" s="9"/>
      <c r="D6" s="9"/>
      <c r="E6" s="9"/>
      <c r="F6" s="9"/>
      <c r="G6" s="372" t="s">
        <v>732</v>
      </c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21"/>
    </row>
    <row r="7" spans="1:19" ht="6.65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spans="1:19" ht="14.9" hidden="1" customHeigh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19" ht="14.9" hidden="1" customHeigh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19" ht="14.9" hidden="1" customHeight="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19" ht="71.5" customHeight="1" thickBot="1" x14ac:dyDescent="0.4">
      <c r="A11" s="5"/>
      <c r="B11" s="6"/>
      <c r="C11" s="6"/>
      <c r="D11" s="6"/>
      <c r="E11" s="7"/>
      <c r="F11" s="7"/>
      <c r="G11" s="431" t="s">
        <v>58</v>
      </c>
      <c r="H11" s="346" t="s">
        <v>329</v>
      </c>
      <c r="I11" s="346" t="s">
        <v>57</v>
      </c>
      <c r="J11" s="346" t="s">
        <v>543</v>
      </c>
      <c r="K11" s="346" t="s">
        <v>537</v>
      </c>
      <c r="L11" s="346" t="s">
        <v>441</v>
      </c>
      <c r="M11" s="347" t="s">
        <v>442</v>
      </c>
      <c r="N11" s="346" t="s">
        <v>538</v>
      </c>
      <c r="O11" s="346" t="s">
        <v>733</v>
      </c>
      <c r="P11" s="432" t="s">
        <v>544</v>
      </c>
      <c r="Q11" s="348" t="s">
        <v>734</v>
      </c>
      <c r="R11" s="349" t="s">
        <v>735</v>
      </c>
    </row>
    <row r="12" spans="1:19" ht="45" x14ac:dyDescent="0.35">
      <c r="A12" s="5"/>
      <c r="B12" s="69"/>
      <c r="C12" s="69"/>
      <c r="D12" s="69"/>
      <c r="E12" s="70"/>
      <c r="F12" s="70"/>
      <c r="G12" s="423" t="s">
        <v>328</v>
      </c>
      <c r="H12" s="424">
        <v>802</v>
      </c>
      <c r="I12" s="425"/>
      <c r="J12" s="425"/>
      <c r="K12" s="426" t="e">
        <f>K13+K23+K40+K134+K28+K115</f>
        <v>#REF!</v>
      </c>
      <c r="L12" s="426">
        <f>L13+L23+L40+L134+L28+L115</f>
        <v>450287</v>
      </c>
      <c r="M12" s="427" t="e">
        <f>M13+M23+M40+M134+M28+M115</f>
        <v>#REF!</v>
      </c>
      <c r="N12" s="426" t="e">
        <f>N13+N23+N40+N134+N28+N115</f>
        <v>#REF!</v>
      </c>
      <c r="O12" s="428">
        <f>O23+O28+O40+O115+O140+O18</f>
        <v>71047524</v>
      </c>
      <c r="P12" s="429"/>
      <c r="Q12" s="429">
        <f>Q23+Q28+Q40+Q115+Q140+Q18</f>
        <v>70797665.389999986</v>
      </c>
      <c r="R12" s="430">
        <f>Q12/O12*100</f>
        <v>99.648321861293837</v>
      </c>
    </row>
    <row r="13" spans="1:19" ht="60.75" hidden="1" customHeight="1" x14ac:dyDescent="0.35">
      <c r="A13" s="5"/>
      <c r="B13" s="69"/>
      <c r="C13" s="69"/>
      <c r="D13" s="69"/>
      <c r="E13" s="70"/>
      <c r="F13" s="70"/>
      <c r="G13" s="108" t="s">
        <v>347</v>
      </c>
      <c r="H13" s="108"/>
      <c r="I13" s="60" t="s">
        <v>212</v>
      </c>
      <c r="J13" s="109"/>
      <c r="K13" s="110">
        <f>K14</f>
        <v>0</v>
      </c>
      <c r="L13" s="110"/>
      <c r="M13" s="222">
        <f>M14</f>
        <v>0</v>
      </c>
      <c r="N13" s="110"/>
      <c r="O13" s="351"/>
      <c r="P13" s="352"/>
      <c r="Q13" s="353"/>
      <c r="R13" s="350"/>
    </row>
    <row r="14" spans="1:19" ht="69" hidden="1" customHeight="1" x14ac:dyDescent="0.35">
      <c r="A14" s="5"/>
      <c r="B14" s="69"/>
      <c r="C14" s="69"/>
      <c r="D14" s="69"/>
      <c r="E14" s="70"/>
      <c r="F14" s="70"/>
      <c r="G14" s="111" t="s">
        <v>348</v>
      </c>
      <c r="H14" s="111"/>
      <c r="I14" s="47" t="s">
        <v>213</v>
      </c>
      <c r="J14" s="112"/>
      <c r="K14" s="113">
        <f>K15</f>
        <v>0</v>
      </c>
      <c r="L14" s="113"/>
      <c r="M14" s="223">
        <f>M15</f>
        <v>0</v>
      </c>
      <c r="N14" s="113"/>
      <c r="O14" s="351"/>
      <c r="P14" s="352"/>
      <c r="Q14" s="353"/>
      <c r="R14" s="350"/>
    </row>
    <row r="15" spans="1:19" ht="54" hidden="1" customHeight="1" x14ac:dyDescent="0.35">
      <c r="A15" s="4"/>
      <c r="B15" s="12"/>
      <c r="C15" s="12"/>
      <c r="D15" s="12"/>
      <c r="E15" s="12"/>
      <c r="F15" s="13"/>
      <c r="G15" s="114" t="s">
        <v>330</v>
      </c>
      <c r="H15" s="114"/>
      <c r="I15" s="64" t="s">
        <v>214</v>
      </c>
      <c r="J15" s="112"/>
      <c r="K15" s="113">
        <f>K16</f>
        <v>0</v>
      </c>
      <c r="L15" s="113"/>
      <c r="M15" s="223">
        <f>M16</f>
        <v>0</v>
      </c>
      <c r="N15" s="113"/>
      <c r="O15" s="354"/>
      <c r="P15" s="352"/>
      <c r="Q15" s="353"/>
      <c r="R15" s="350"/>
    </row>
    <row r="16" spans="1:19" ht="69" hidden="1" customHeight="1" x14ac:dyDescent="0.35">
      <c r="A16" s="4"/>
      <c r="B16" s="12"/>
      <c r="C16" s="12"/>
      <c r="D16" s="12"/>
      <c r="E16" s="12"/>
      <c r="F16" s="13"/>
      <c r="G16" s="111" t="s">
        <v>349</v>
      </c>
      <c r="H16" s="111"/>
      <c r="I16" s="47" t="s">
        <v>215</v>
      </c>
      <c r="J16" s="112"/>
      <c r="K16" s="113">
        <f>K17</f>
        <v>0</v>
      </c>
      <c r="L16" s="113"/>
      <c r="M16" s="223">
        <f>M17</f>
        <v>0</v>
      </c>
      <c r="N16" s="113"/>
      <c r="O16" s="354"/>
      <c r="P16" s="352"/>
      <c r="Q16" s="353"/>
      <c r="R16" s="350"/>
    </row>
    <row r="17" spans="1:18" ht="39.75" hidden="1" customHeight="1" x14ac:dyDescent="0.35">
      <c r="A17" s="4"/>
      <c r="B17" s="12"/>
      <c r="C17" s="12"/>
      <c r="D17" s="12"/>
      <c r="E17" s="12"/>
      <c r="F17" s="13"/>
      <c r="G17" s="111" t="s">
        <v>2</v>
      </c>
      <c r="H17" s="111"/>
      <c r="I17" s="112"/>
      <c r="J17" s="112">
        <v>600</v>
      </c>
      <c r="K17" s="113">
        <v>0</v>
      </c>
      <c r="L17" s="113"/>
      <c r="M17" s="223">
        <v>0</v>
      </c>
      <c r="N17" s="113"/>
      <c r="O17" s="354"/>
      <c r="P17" s="352"/>
      <c r="Q17" s="353"/>
      <c r="R17" s="350"/>
    </row>
    <row r="18" spans="1:18" ht="34" customHeight="1" x14ac:dyDescent="0.35">
      <c r="A18" s="4"/>
      <c r="B18" s="291"/>
      <c r="C18" s="291"/>
      <c r="D18" s="291"/>
      <c r="E18" s="291"/>
      <c r="F18" s="292"/>
      <c r="G18" s="303" t="s">
        <v>625</v>
      </c>
      <c r="H18" s="108"/>
      <c r="I18" s="60" t="s">
        <v>218</v>
      </c>
      <c r="J18" s="112"/>
      <c r="K18" s="110">
        <f>K19</f>
        <v>142000</v>
      </c>
      <c r="L18" s="113"/>
      <c r="M18" s="222">
        <f t="shared" ref="M18:Q19" si="0">M19</f>
        <v>151000</v>
      </c>
      <c r="N18" s="110">
        <f t="shared" si="0"/>
        <v>0</v>
      </c>
      <c r="O18" s="354">
        <f t="shared" si="0"/>
        <v>80000</v>
      </c>
      <c r="P18" s="352"/>
      <c r="Q18" s="352">
        <f t="shared" si="0"/>
        <v>80000</v>
      </c>
      <c r="R18" s="350">
        <f t="shared" ref="R18:R80" si="1">Q18/O18*100</f>
        <v>100</v>
      </c>
    </row>
    <row r="19" spans="1:18" ht="46.5" x14ac:dyDescent="0.35">
      <c r="A19" s="4"/>
      <c r="B19" s="291"/>
      <c r="C19" s="291"/>
      <c r="D19" s="291"/>
      <c r="E19" s="291"/>
      <c r="F19" s="292"/>
      <c r="G19" s="304" t="s">
        <v>626</v>
      </c>
      <c r="H19" s="111"/>
      <c r="I19" s="47" t="s">
        <v>219</v>
      </c>
      <c r="J19" s="112"/>
      <c r="K19" s="113">
        <f>K20</f>
        <v>142000</v>
      </c>
      <c r="L19" s="113"/>
      <c r="M19" s="223">
        <f t="shared" si="0"/>
        <v>151000</v>
      </c>
      <c r="N19" s="113">
        <f t="shared" si="0"/>
        <v>0</v>
      </c>
      <c r="O19" s="355">
        <f t="shared" si="0"/>
        <v>80000</v>
      </c>
      <c r="P19" s="352"/>
      <c r="Q19" s="353">
        <f t="shared" si="0"/>
        <v>80000</v>
      </c>
      <c r="R19" s="350">
        <f t="shared" si="1"/>
        <v>100</v>
      </c>
    </row>
    <row r="20" spans="1:18" ht="46.5" x14ac:dyDescent="0.35">
      <c r="A20" s="4"/>
      <c r="B20" s="291"/>
      <c r="C20" s="291"/>
      <c r="D20" s="291"/>
      <c r="E20" s="291"/>
      <c r="F20" s="292"/>
      <c r="G20" s="128" t="s">
        <v>221</v>
      </c>
      <c r="H20" s="128"/>
      <c r="I20" s="64" t="s">
        <v>220</v>
      </c>
      <c r="J20" s="126"/>
      <c r="K20" s="127">
        <f>K21+K25</f>
        <v>142000</v>
      </c>
      <c r="L20" s="127"/>
      <c r="M20" s="227">
        <f>M21+M25</f>
        <v>151000</v>
      </c>
      <c r="N20" s="113">
        <f>N21+N25</f>
        <v>0</v>
      </c>
      <c r="O20" s="359">
        <f>O21</f>
        <v>80000</v>
      </c>
      <c r="P20" s="361"/>
      <c r="Q20" s="358">
        <f>Q21</f>
        <v>80000</v>
      </c>
      <c r="R20" s="350">
        <f t="shared" si="1"/>
        <v>100</v>
      </c>
    </row>
    <row r="21" spans="1:18" ht="46.5" x14ac:dyDescent="0.35">
      <c r="A21" s="4"/>
      <c r="B21" s="291"/>
      <c r="C21" s="291"/>
      <c r="D21" s="291"/>
      <c r="E21" s="291"/>
      <c r="F21" s="292"/>
      <c r="G21" s="305" t="s">
        <v>627</v>
      </c>
      <c r="H21" s="125"/>
      <c r="I21" s="47" t="s">
        <v>222</v>
      </c>
      <c r="J21" s="126"/>
      <c r="K21" s="127">
        <f>K22+K23+K24</f>
        <v>119000</v>
      </c>
      <c r="L21" s="127"/>
      <c r="M21" s="227">
        <f>M22+M23+M24</f>
        <v>127000</v>
      </c>
      <c r="N21" s="113">
        <f>N22+N23+N24</f>
        <v>0</v>
      </c>
      <c r="O21" s="355">
        <f>O22</f>
        <v>80000</v>
      </c>
      <c r="P21" s="352"/>
      <c r="Q21" s="353">
        <f>Q22</f>
        <v>80000</v>
      </c>
      <c r="R21" s="350">
        <f t="shared" si="1"/>
        <v>100</v>
      </c>
    </row>
    <row r="22" spans="1:18" ht="46.5" x14ac:dyDescent="0.35">
      <c r="A22" s="4"/>
      <c r="B22" s="291"/>
      <c r="C22" s="291"/>
      <c r="D22" s="291"/>
      <c r="E22" s="291"/>
      <c r="F22" s="292"/>
      <c r="G22" s="51" t="s">
        <v>4</v>
      </c>
      <c r="H22" s="51"/>
      <c r="I22" s="79"/>
      <c r="J22" s="48">
        <v>600</v>
      </c>
      <c r="K22" s="113">
        <v>73000</v>
      </c>
      <c r="L22" s="113"/>
      <c r="M22" s="223">
        <v>79000</v>
      </c>
      <c r="N22" s="113"/>
      <c r="O22" s="355">
        <v>80000</v>
      </c>
      <c r="P22" s="352"/>
      <c r="Q22" s="353">
        <v>80000</v>
      </c>
      <c r="R22" s="350">
        <f t="shared" si="1"/>
        <v>100</v>
      </c>
    </row>
    <row r="23" spans="1:18" s="104" customFormat="1" ht="66" customHeight="1" x14ac:dyDescent="0.35">
      <c r="A23" s="101"/>
      <c r="B23" s="102"/>
      <c r="C23" s="102"/>
      <c r="D23" s="102"/>
      <c r="E23" s="102"/>
      <c r="F23" s="103"/>
      <c r="G23" s="306" t="s">
        <v>628</v>
      </c>
      <c r="H23" s="59"/>
      <c r="I23" s="60" t="s">
        <v>224</v>
      </c>
      <c r="J23" s="61" t="s">
        <v>0</v>
      </c>
      <c r="K23" s="62">
        <f>K24</f>
        <v>23000</v>
      </c>
      <c r="L23" s="62"/>
      <c r="M23" s="224">
        <f t="shared" ref="M23:Q26" si="2">M24</f>
        <v>24000</v>
      </c>
      <c r="N23" s="121">
        <f t="shared" si="2"/>
        <v>0</v>
      </c>
      <c r="O23" s="354">
        <f t="shared" si="2"/>
        <v>25000</v>
      </c>
      <c r="P23" s="352"/>
      <c r="Q23" s="352">
        <f t="shared" si="2"/>
        <v>25000</v>
      </c>
      <c r="R23" s="350">
        <f t="shared" si="1"/>
        <v>100</v>
      </c>
    </row>
    <row r="24" spans="1:18" s="104" customFormat="1" ht="71.25" customHeight="1" x14ac:dyDescent="0.35">
      <c r="A24" s="101"/>
      <c r="B24" s="102"/>
      <c r="C24" s="102"/>
      <c r="D24" s="102"/>
      <c r="E24" s="102"/>
      <c r="F24" s="103"/>
      <c r="G24" s="14" t="s">
        <v>629</v>
      </c>
      <c r="H24" s="115"/>
      <c r="I24" s="47" t="s">
        <v>339</v>
      </c>
      <c r="J24" s="48" t="s">
        <v>0</v>
      </c>
      <c r="K24" s="49">
        <f>K25</f>
        <v>23000</v>
      </c>
      <c r="L24" s="49"/>
      <c r="M24" s="225">
        <f t="shared" si="2"/>
        <v>24000</v>
      </c>
      <c r="N24" s="49">
        <f t="shared" si="2"/>
        <v>0</v>
      </c>
      <c r="O24" s="355">
        <f t="shared" si="2"/>
        <v>25000</v>
      </c>
      <c r="P24" s="353"/>
      <c r="Q24" s="353">
        <f t="shared" si="2"/>
        <v>25000</v>
      </c>
      <c r="R24" s="350">
        <f t="shared" si="1"/>
        <v>100</v>
      </c>
    </row>
    <row r="25" spans="1:18" s="104" customFormat="1" ht="48" customHeight="1" x14ac:dyDescent="0.35">
      <c r="A25" s="101"/>
      <c r="B25" s="102"/>
      <c r="C25" s="102"/>
      <c r="D25" s="102"/>
      <c r="E25" s="102"/>
      <c r="F25" s="103"/>
      <c r="G25" s="63" t="s">
        <v>227</v>
      </c>
      <c r="H25" s="63"/>
      <c r="I25" s="64" t="s">
        <v>341</v>
      </c>
      <c r="J25" s="48"/>
      <c r="K25" s="49">
        <f>K26</f>
        <v>23000</v>
      </c>
      <c r="L25" s="49"/>
      <c r="M25" s="225">
        <f t="shared" si="2"/>
        <v>24000</v>
      </c>
      <c r="N25" s="49">
        <f t="shared" si="2"/>
        <v>0</v>
      </c>
      <c r="O25" s="359">
        <f t="shared" si="2"/>
        <v>25000</v>
      </c>
      <c r="P25" s="358"/>
      <c r="Q25" s="358">
        <f t="shared" si="2"/>
        <v>25000</v>
      </c>
      <c r="R25" s="350">
        <f t="shared" si="1"/>
        <v>100</v>
      </c>
    </row>
    <row r="26" spans="1:18" s="104" customFormat="1" ht="80.5" customHeight="1" x14ac:dyDescent="0.35">
      <c r="A26" s="101"/>
      <c r="B26" s="102"/>
      <c r="C26" s="102"/>
      <c r="D26" s="102"/>
      <c r="E26" s="102"/>
      <c r="F26" s="103"/>
      <c r="G26" s="14" t="s">
        <v>630</v>
      </c>
      <c r="H26" s="51"/>
      <c r="I26" s="47" t="s">
        <v>342</v>
      </c>
      <c r="J26" s="48"/>
      <c r="K26" s="49">
        <f>K27</f>
        <v>23000</v>
      </c>
      <c r="L26" s="49"/>
      <c r="M26" s="225">
        <f t="shared" si="2"/>
        <v>24000</v>
      </c>
      <c r="N26" s="49">
        <f t="shared" si="2"/>
        <v>0</v>
      </c>
      <c r="O26" s="355">
        <f t="shared" si="2"/>
        <v>25000</v>
      </c>
      <c r="P26" s="353"/>
      <c r="Q26" s="353">
        <f t="shared" si="2"/>
        <v>25000</v>
      </c>
      <c r="R26" s="350">
        <f t="shared" si="1"/>
        <v>100</v>
      </c>
    </row>
    <row r="27" spans="1:18" s="104" customFormat="1" ht="40.5" customHeight="1" x14ac:dyDescent="0.35">
      <c r="A27" s="101"/>
      <c r="B27" s="102"/>
      <c r="C27" s="102"/>
      <c r="D27" s="102"/>
      <c r="E27" s="102"/>
      <c r="F27" s="103"/>
      <c r="G27" s="51" t="s">
        <v>4</v>
      </c>
      <c r="H27" s="51"/>
      <c r="I27" s="79"/>
      <c r="J27" s="48">
        <v>600</v>
      </c>
      <c r="K27" s="49">
        <v>23000</v>
      </c>
      <c r="L27" s="49"/>
      <c r="M27" s="225">
        <v>24000</v>
      </c>
      <c r="N27" s="49"/>
      <c r="O27" s="355">
        <v>25000</v>
      </c>
      <c r="P27" s="353"/>
      <c r="Q27" s="353">
        <v>25000</v>
      </c>
      <c r="R27" s="350">
        <f t="shared" si="1"/>
        <v>100</v>
      </c>
    </row>
    <row r="28" spans="1:18" s="104" customFormat="1" ht="67" customHeight="1" x14ac:dyDescent="0.35">
      <c r="A28" s="101"/>
      <c r="B28" s="102"/>
      <c r="C28" s="102"/>
      <c r="D28" s="102"/>
      <c r="E28" s="102"/>
      <c r="F28" s="103"/>
      <c r="G28" s="2" t="s">
        <v>631</v>
      </c>
      <c r="H28" s="51"/>
      <c r="I28" s="60" t="s">
        <v>402</v>
      </c>
      <c r="J28" s="48"/>
      <c r="K28" s="121">
        <f t="shared" ref="K28:Q29" si="3">K29</f>
        <v>65000</v>
      </c>
      <c r="L28" s="49">
        <f t="shared" si="3"/>
        <v>0</v>
      </c>
      <c r="M28" s="225">
        <f t="shared" si="3"/>
        <v>65000</v>
      </c>
      <c r="N28" s="49">
        <f t="shared" si="3"/>
        <v>0</v>
      </c>
      <c r="O28" s="354">
        <f t="shared" si="3"/>
        <v>129655</v>
      </c>
      <c r="P28" s="353"/>
      <c r="Q28" s="352">
        <f t="shared" si="3"/>
        <v>127606.20999999999</v>
      </c>
      <c r="R28" s="350">
        <f t="shared" si="1"/>
        <v>98.419814122093243</v>
      </c>
    </row>
    <row r="29" spans="1:18" s="104" customFormat="1" ht="80.25" customHeight="1" x14ac:dyDescent="0.35">
      <c r="A29" s="101"/>
      <c r="B29" s="102"/>
      <c r="C29" s="102"/>
      <c r="D29" s="102"/>
      <c r="E29" s="102"/>
      <c r="F29" s="103"/>
      <c r="G29" s="14" t="s">
        <v>632</v>
      </c>
      <c r="H29" s="51"/>
      <c r="I29" s="47" t="s">
        <v>403</v>
      </c>
      <c r="J29" s="48"/>
      <c r="K29" s="49">
        <f t="shared" si="3"/>
        <v>65000</v>
      </c>
      <c r="L29" s="49">
        <f t="shared" si="3"/>
        <v>0</v>
      </c>
      <c r="M29" s="225">
        <f t="shared" si="3"/>
        <v>65000</v>
      </c>
      <c r="N29" s="49">
        <f t="shared" si="3"/>
        <v>0</v>
      </c>
      <c r="O29" s="355">
        <f t="shared" si="3"/>
        <v>129655</v>
      </c>
      <c r="P29" s="353"/>
      <c r="Q29" s="353">
        <f t="shared" si="3"/>
        <v>127606.20999999999</v>
      </c>
      <c r="R29" s="350">
        <f t="shared" si="1"/>
        <v>98.419814122093243</v>
      </c>
    </row>
    <row r="30" spans="1:18" s="104" customFormat="1" ht="56.25" customHeight="1" x14ac:dyDescent="0.35">
      <c r="A30" s="101"/>
      <c r="B30" s="102"/>
      <c r="C30" s="102"/>
      <c r="D30" s="102"/>
      <c r="E30" s="102"/>
      <c r="F30" s="103"/>
      <c r="G30" s="63" t="s">
        <v>432</v>
      </c>
      <c r="H30" s="51"/>
      <c r="I30" s="64" t="s">
        <v>404</v>
      </c>
      <c r="J30" s="48"/>
      <c r="K30" s="49">
        <f>K31+K34</f>
        <v>65000</v>
      </c>
      <c r="L30" s="49">
        <f>L31+L34</f>
        <v>0</v>
      </c>
      <c r="M30" s="225">
        <f>M31+M34</f>
        <v>65000</v>
      </c>
      <c r="N30" s="49">
        <f>N31+N34</f>
        <v>0</v>
      </c>
      <c r="O30" s="359">
        <f>O31+O34+O37</f>
        <v>129655</v>
      </c>
      <c r="P30" s="358"/>
      <c r="Q30" s="358">
        <f>Q31+Q34+Q37</f>
        <v>127606.20999999999</v>
      </c>
      <c r="R30" s="350">
        <f t="shared" si="1"/>
        <v>98.419814122093243</v>
      </c>
    </row>
    <row r="31" spans="1:18" s="104" customFormat="1" ht="100.5" customHeight="1" x14ac:dyDescent="0.35">
      <c r="A31" s="101"/>
      <c r="B31" s="102"/>
      <c r="C31" s="102"/>
      <c r="D31" s="102"/>
      <c r="E31" s="102"/>
      <c r="F31" s="103"/>
      <c r="G31" s="14" t="s">
        <v>633</v>
      </c>
      <c r="H31" s="51"/>
      <c r="I31" s="47" t="s">
        <v>405</v>
      </c>
      <c r="J31" s="48"/>
      <c r="K31" s="49">
        <f>K32+K33</f>
        <v>65000</v>
      </c>
      <c r="L31" s="49">
        <f>L32+L33</f>
        <v>0</v>
      </c>
      <c r="M31" s="225">
        <f>M32+M33</f>
        <v>65000</v>
      </c>
      <c r="N31" s="49">
        <f>N32+N33</f>
        <v>0</v>
      </c>
      <c r="O31" s="355">
        <f>O32+O33</f>
        <v>65000</v>
      </c>
      <c r="P31" s="353"/>
      <c r="Q31" s="353">
        <f>Q32+Q33</f>
        <v>62951.21</v>
      </c>
      <c r="R31" s="350">
        <f t="shared" si="1"/>
        <v>96.84801538461538</v>
      </c>
    </row>
    <row r="32" spans="1:18" s="104" customFormat="1" ht="33" customHeight="1" x14ac:dyDescent="0.35">
      <c r="A32" s="101"/>
      <c r="B32" s="102"/>
      <c r="C32" s="102"/>
      <c r="D32" s="102"/>
      <c r="E32" s="102"/>
      <c r="F32" s="103"/>
      <c r="G32" s="51" t="s">
        <v>2</v>
      </c>
      <c r="H32" s="51"/>
      <c r="I32" s="47"/>
      <c r="J32" s="48">
        <v>200</v>
      </c>
      <c r="K32" s="49">
        <v>55000</v>
      </c>
      <c r="L32" s="49"/>
      <c r="M32" s="225">
        <f>K32+L32</f>
        <v>55000</v>
      </c>
      <c r="N32" s="49"/>
      <c r="O32" s="356">
        <v>55000</v>
      </c>
      <c r="P32" s="353"/>
      <c r="Q32" s="353">
        <v>52951.21</v>
      </c>
      <c r="R32" s="350">
        <f t="shared" si="1"/>
        <v>96.274927272727268</v>
      </c>
    </row>
    <row r="33" spans="1:18" s="104" customFormat="1" ht="46.5" customHeight="1" x14ac:dyDescent="0.35">
      <c r="A33" s="101"/>
      <c r="B33" s="102"/>
      <c r="C33" s="102"/>
      <c r="D33" s="102"/>
      <c r="E33" s="102"/>
      <c r="F33" s="103"/>
      <c r="G33" s="51" t="s">
        <v>4</v>
      </c>
      <c r="H33" s="51"/>
      <c r="I33" s="79"/>
      <c r="J33" s="48">
        <v>600</v>
      </c>
      <c r="K33" s="49">
        <v>10000</v>
      </c>
      <c r="L33" s="49"/>
      <c r="M33" s="225">
        <f>K33+L33</f>
        <v>10000</v>
      </c>
      <c r="N33" s="49"/>
      <c r="O33" s="355">
        <v>10000</v>
      </c>
      <c r="P33" s="353"/>
      <c r="Q33" s="353">
        <v>10000</v>
      </c>
      <c r="R33" s="350">
        <f t="shared" si="1"/>
        <v>100</v>
      </c>
    </row>
    <row r="34" spans="1:18" s="104" customFormat="1" ht="46.4" hidden="1" customHeight="1" x14ac:dyDescent="0.35">
      <c r="A34" s="101"/>
      <c r="B34" s="102"/>
      <c r="C34" s="102"/>
      <c r="D34" s="102"/>
      <c r="E34" s="102"/>
      <c r="F34" s="103"/>
      <c r="G34" s="51" t="s">
        <v>462</v>
      </c>
      <c r="H34" s="51"/>
      <c r="I34" s="47" t="s">
        <v>463</v>
      </c>
      <c r="J34" s="48"/>
      <c r="K34" s="49">
        <f>K35+K36</f>
        <v>0</v>
      </c>
      <c r="L34" s="49">
        <f>L35+L36</f>
        <v>0</v>
      </c>
      <c r="M34" s="225">
        <f>M35+M36</f>
        <v>0</v>
      </c>
      <c r="N34" s="49"/>
      <c r="O34" s="354"/>
      <c r="P34" s="353"/>
      <c r="Q34" s="353"/>
      <c r="R34" s="350" t="e">
        <f t="shared" si="1"/>
        <v>#DIV/0!</v>
      </c>
    </row>
    <row r="35" spans="1:18" s="104" customFormat="1" ht="34.4" hidden="1" customHeight="1" x14ac:dyDescent="0.35">
      <c r="A35" s="101"/>
      <c r="B35" s="102"/>
      <c r="C35" s="102"/>
      <c r="D35" s="102"/>
      <c r="E35" s="102"/>
      <c r="F35" s="103"/>
      <c r="G35" s="51" t="s">
        <v>2</v>
      </c>
      <c r="H35" s="51"/>
      <c r="I35" s="47"/>
      <c r="J35" s="48">
        <v>200</v>
      </c>
      <c r="K35" s="49"/>
      <c r="L35" s="49"/>
      <c r="M35" s="225">
        <f>K35+L35</f>
        <v>0</v>
      </c>
      <c r="N35" s="49"/>
      <c r="O35" s="354"/>
      <c r="P35" s="353"/>
      <c r="Q35" s="353"/>
      <c r="R35" s="350" t="e">
        <f t="shared" si="1"/>
        <v>#DIV/0!</v>
      </c>
    </row>
    <row r="36" spans="1:18" s="104" customFormat="1" ht="34.5" hidden="1" customHeight="1" x14ac:dyDescent="0.35">
      <c r="A36" s="101"/>
      <c r="B36" s="102"/>
      <c r="C36" s="102"/>
      <c r="D36" s="102"/>
      <c r="E36" s="102"/>
      <c r="F36" s="103"/>
      <c r="G36" s="51" t="s">
        <v>4</v>
      </c>
      <c r="H36" s="51"/>
      <c r="I36" s="79"/>
      <c r="J36" s="48">
        <v>600</v>
      </c>
      <c r="K36" s="49"/>
      <c r="L36" s="49"/>
      <c r="M36" s="225">
        <f>K36+L36</f>
        <v>0</v>
      </c>
      <c r="N36" s="49"/>
      <c r="O36" s="354"/>
      <c r="P36" s="353"/>
      <c r="Q36" s="353"/>
      <c r="R36" s="350" t="e">
        <f t="shared" si="1"/>
        <v>#DIV/0!</v>
      </c>
    </row>
    <row r="37" spans="1:18" s="104" customFormat="1" ht="41.25" customHeight="1" x14ac:dyDescent="0.35">
      <c r="A37" s="101"/>
      <c r="B37" s="102"/>
      <c r="C37" s="102"/>
      <c r="D37" s="102"/>
      <c r="E37" s="102"/>
      <c r="F37" s="103"/>
      <c r="G37" s="14" t="s">
        <v>462</v>
      </c>
      <c r="H37" s="51"/>
      <c r="I37" s="3" t="s">
        <v>463</v>
      </c>
      <c r="J37" s="48"/>
      <c r="K37" s="49"/>
      <c r="L37" s="49"/>
      <c r="M37" s="225"/>
      <c r="N37" s="49"/>
      <c r="O37" s="355">
        <f>O39+O38</f>
        <v>64655</v>
      </c>
      <c r="P37" s="353"/>
      <c r="Q37" s="353">
        <f>Q39+Q38</f>
        <v>64655</v>
      </c>
      <c r="R37" s="350">
        <f t="shared" si="1"/>
        <v>100</v>
      </c>
    </row>
    <row r="38" spans="1:18" s="104" customFormat="1" ht="41.25" customHeight="1" x14ac:dyDescent="0.35">
      <c r="A38" s="101"/>
      <c r="B38" s="102"/>
      <c r="C38" s="102"/>
      <c r="D38" s="102"/>
      <c r="E38" s="102"/>
      <c r="F38" s="103"/>
      <c r="G38" s="51" t="s">
        <v>2</v>
      </c>
      <c r="H38" s="51"/>
      <c r="I38" s="79"/>
      <c r="J38" s="48">
        <v>200</v>
      </c>
      <c r="K38" s="49"/>
      <c r="L38" s="49"/>
      <c r="M38" s="225"/>
      <c r="N38" s="49"/>
      <c r="O38" s="355">
        <v>44655</v>
      </c>
      <c r="P38" s="353"/>
      <c r="Q38" s="353">
        <v>44655</v>
      </c>
      <c r="R38" s="350">
        <f t="shared" si="1"/>
        <v>100</v>
      </c>
    </row>
    <row r="39" spans="1:18" s="104" customFormat="1" ht="34.5" customHeight="1" x14ac:dyDescent="0.35">
      <c r="A39" s="101"/>
      <c r="B39" s="102"/>
      <c r="C39" s="102"/>
      <c r="D39" s="102"/>
      <c r="E39" s="102"/>
      <c r="F39" s="103"/>
      <c r="G39" s="51" t="s">
        <v>4</v>
      </c>
      <c r="H39" s="318"/>
      <c r="I39" s="318"/>
      <c r="J39" s="319">
        <v>600</v>
      </c>
      <c r="K39" s="49"/>
      <c r="L39" s="49"/>
      <c r="M39" s="225"/>
      <c r="N39" s="49"/>
      <c r="O39" s="355">
        <v>20000</v>
      </c>
      <c r="P39" s="353"/>
      <c r="Q39" s="353">
        <v>20000</v>
      </c>
      <c r="R39" s="350">
        <f t="shared" si="1"/>
        <v>100</v>
      </c>
    </row>
    <row r="40" spans="1:18" ht="53.15" customHeight="1" x14ac:dyDescent="0.35">
      <c r="A40" s="4"/>
      <c r="B40" s="12"/>
      <c r="C40" s="12"/>
      <c r="D40" s="12"/>
      <c r="E40" s="12"/>
      <c r="F40" s="13"/>
      <c r="G40" s="2" t="s">
        <v>634</v>
      </c>
      <c r="H40" s="106"/>
      <c r="I40" s="60" t="s">
        <v>233</v>
      </c>
      <c r="J40" s="106"/>
      <c r="K40" s="107" t="e">
        <f>K41+K65+K70</f>
        <v>#REF!</v>
      </c>
      <c r="L40" s="107">
        <f>L41+L65+L70</f>
        <v>450287</v>
      </c>
      <c r="M40" s="221">
        <f>M41+M65+M70</f>
        <v>47490543</v>
      </c>
      <c r="N40" s="107" t="e">
        <f>N41+N65+N70</f>
        <v>#REF!</v>
      </c>
      <c r="O40" s="354">
        <f>O41+O65+O70+O108</f>
        <v>67979962</v>
      </c>
      <c r="P40" s="352"/>
      <c r="Q40" s="362">
        <f>Q41+Q65+Q70+Q108</f>
        <v>67792818.569999993</v>
      </c>
      <c r="R40" s="350">
        <f t="shared" si="1"/>
        <v>99.724707951440152</v>
      </c>
    </row>
    <row r="41" spans="1:18" ht="54.5" customHeight="1" x14ac:dyDescent="0.35">
      <c r="A41" s="4"/>
      <c r="B41" s="12"/>
      <c r="C41" s="12"/>
      <c r="D41" s="12"/>
      <c r="E41" s="12"/>
      <c r="F41" s="13"/>
      <c r="G41" s="2" t="s">
        <v>635</v>
      </c>
      <c r="H41" s="115"/>
      <c r="I41" s="47" t="s">
        <v>234</v>
      </c>
      <c r="J41" s="48" t="s">
        <v>0</v>
      </c>
      <c r="K41" s="49" t="e">
        <f>K42+K58+K84+K103</f>
        <v>#REF!</v>
      </c>
      <c r="L41" s="49">
        <f>L42+L58+L84</f>
        <v>450287</v>
      </c>
      <c r="M41" s="225">
        <f>M42+M58+M84</f>
        <v>47490543</v>
      </c>
      <c r="N41" s="49" t="e">
        <f>N42+N58+N84+N103</f>
        <v>#REF!</v>
      </c>
      <c r="O41" s="355">
        <f>O42+O58+O84+O103+O100+O95+O112</f>
        <v>67979962</v>
      </c>
      <c r="P41" s="353"/>
      <c r="Q41" s="362">
        <f>Q42+Q58+Q84+Q103+Q100+Q95+Q112</f>
        <v>67792818.569999993</v>
      </c>
      <c r="R41" s="350">
        <f t="shared" si="1"/>
        <v>99.724707951440152</v>
      </c>
    </row>
    <row r="42" spans="1:18" ht="54.75" customHeight="1" x14ac:dyDescent="0.35">
      <c r="A42" s="4"/>
      <c r="B42" s="10"/>
      <c r="C42" s="10"/>
      <c r="D42" s="10"/>
      <c r="E42" s="10"/>
      <c r="F42" s="11"/>
      <c r="G42" s="63" t="s">
        <v>241</v>
      </c>
      <c r="H42" s="63"/>
      <c r="I42" s="64" t="s">
        <v>235</v>
      </c>
      <c r="J42" s="48"/>
      <c r="K42" s="49" t="e">
        <f>K43+K45+K47+K50+K52+K56+K78+K76+K80+K82</f>
        <v>#REF!</v>
      </c>
      <c r="L42" s="49">
        <f>L43+L45+L47+L50+L52+L56+L78+L76+L80+L82</f>
        <v>155557</v>
      </c>
      <c r="M42" s="225">
        <f>M43+M45+M47+M50+M52+M56+M78+M76+M80+M82</f>
        <v>47195813</v>
      </c>
      <c r="N42" s="49" t="e">
        <f>N43+N45+N47+N50+N52+N56+N78+N76+N80+N82</f>
        <v>#REF!</v>
      </c>
      <c r="O42" s="355">
        <f>O43+O45+O47+O50+O52+O56+O78+O76+O80+O82+O93+O89+O91+O87</f>
        <v>64595454</v>
      </c>
      <c r="P42" s="353"/>
      <c r="Q42" s="363">
        <f>Q43+Q45+Q47+Q50+Q52+Q56+Q78+Q76+Q80+Q82+Q93+Q89+Q91+Q87</f>
        <v>64408314.839999996</v>
      </c>
      <c r="R42" s="350">
        <f t="shared" si="1"/>
        <v>99.710290510536538</v>
      </c>
    </row>
    <row r="43" spans="1:18" ht="55.5" customHeight="1" x14ac:dyDescent="0.35">
      <c r="A43" s="4"/>
      <c r="B43" s="10"/>
      <c r="C43" s="10"/>
      <c r="D43" s="10"/>
      <c r="E43" s="10"/>
      <c r="F43" s="11"/>
      <c r="G43" s="51" t="s">
        <v>64</v>
      </c>
      <c r="H43" s="51"/>
      <c r="I43" s="47" t="s">
        <v>236</v>
      </c>
      <c r="J43" s="48" t="s">
        <v>0</v>
      </c>
      <c r="K43" s="49">
        <f>K44</f>
        <v>3614235</v>
      </c>
      <c r="L43" s="49"/>
      <c r="M43" s="225">
        <f>M44</f>
        <v>3005700</v>
      </c>
      <c r="N43" s="49">
        <f>N44</f>
        <v>0</v>
      </c>
      <c r="O43" s="355">
        <f>O44</f>
        <v>3976950</v>
      </c>
      <c r="P43" s="353"/>
      <c r="Q43" s="363">
        <v>3976950</v>
      </c>
      <c r="R43" s="350">
        <f t="shared" si="1"/>
        <v>100</v>
      </c>
    </row>
    <row r="44" spans="1:18" ht="45.75" customHeight="1" x14ac:dyDescent="0.35">
      <c r="A44" s="4"/>
      <c r="B44" s="10"/>
      <c r="C44" s="10"/>
      <c r="D44" s="10"/>
      <c r="E44" s="10"/>
      <c r="F44" s="11"/>
      <c r="G44" s="51" t="s">
        <v>4</v>
      </c>
      <c r="H44" s="51"/>
      <c r="I44" s="52"/>
      <c r="J44" s="48">
        <v>600</v>
      </c>
      <c r="K44" s="49">
        <v>3614235</v>
      </c>
      <c r="L44" s="49"/>
      <c r="M44" s="225">
        <v>3005700</v>
      </c>
      <c r="N44" s="49"/>
      <c r="O44" s="353">
        <f>4276950-300000</f>
        <v>3976950</v>
      </c>
      <c r="P44" s="353"/>
      <c r="Q44" s="364">
        <v>3976950</v>
      </c>
      <c r="R44" s="350">
        <f t="shared" si="1"/>
        <v>100</v>
      </c>
    </row>
    <row r="45" spans="1:18" ht="54.75" customHeight="1" x14ac:dyDescent="0.35">
      <c r="A45" s="4"/>
      <c r="B45" s="10"/>
      <c r="C45" s="10"/>
      <c r="D45" s="10"/>
      <c r="E45" s="10"/>
      <c r="F45" s="11"/>
      <c r="G45" s="51" t="s">
        <v>65</v>
      </c>
      <c r="H45" s="51"/>
      <c r="I45" s="47" t="s">
        <v>237</v>
      </c>
      <c r="J45" s="48"/>
      <c r="K45" s="49">
        <f>K46</f>
        <v>2221100</v>
      </c>
      <c r="L45" s="49"/>
      <c r="M45" s="225">
        <f>M46</f>
        <v>1448700</v>
      </c>
      <c r="N45" s="49">
        <f>N46</f>
        <v>0</v>
      </c>
      <c r="O45" s="355">
        <f>O46</f>
        <v>1122000</v>
      </c>
      <c r="P45" s="353"/>
      <c r="Q45" s="363">
        <v>1122000</v>
      </c>
      <c r="R45" s="350">
        <f t="shared" si="1"/>
        <v>100</v>
      </c>
    </row>
    <row r="46" spans="1:18" ht="53.5" customHeight="1" x14ac:dyDescent="0.35">
      <c r="A46" s="4"/>
      <c r="B46" s="10"/>
      <c r="C46" s="10"/>
      <c r="D46" s="10"/>
      <c r="E46" s="10"/>
      <c r="F46" s="11"/>
      <c r="G46" s="51" t="s">
        <v>4</v>
      </c>
      <c r="H46" s="51"/>
      <c r="I46" s="52"/>
      <c r="J46" s="48">
        <v>600</v>
      </c>
      <c r="K46" s="49">
        <v>2221100</v>
      </c>
      <c r="L46" s="49"/>
      <c r="M46" s="225">
        <v>1448700</v>
      </c>
      <c r="N46" s="49"/>
      <c r="O46" s="353">
        <v>1122000</v>
      </c>
      <c r="P46" s="353"/>
      <c r="Q46" s="363">
        <v>1122000</v>
      </c>
      <c r="R46" s="350">
        <f t="shared" si="1"/>
        <v>100</v>
      </c>
    </row>
    <row r="47" spans="1:18" ht="41.25" customHeight="1" x14ac:dyDescent="0.35">
      <c r="A47" s="4"/>
      <c r="B47" s="10"/>
      <c r="C47" s="10"/>
      <c r="D47" s="10"/>
      <c r="E47" s="10"/>
      <c r="F47" s="11"/>
      <c r="G47" s="51" t="s">
        <v>33</v>
      </c>
      <c r="H47" s="51"/>
      <c r="I47" s="47" t="s">
        <v>238</v>
      </c>
      <c r="J47" s="48"/>
      <c r="K47" s="49" t="e">
        <f>K48+#REF!</f>
        <v>#REF!</v>
      </c>
      <c r="L47" s="49">
        <f>L48</f>
        <v>0</v>
      </c>
      <c r="M47" s="225">
        <f>M48+M49</f>
        <v>19960100</v>
      </c>
      <c r="N47" s="49" t="e">
        <f>N48+#REF!</f>
        <v>#REF!</v>
      </c>
      <c r="O47" s="355">
        <f>O48</f>
        <v>23209700</v>
      </c>
      <c r="P47" s="353"/>
      <c r="Q47" s="363">
        <v>23209700</v>
      </c>
      <c r="R47" s="350">
        <f t="shared" si="1"/>
        <v>100</v>
      </c>
    </row>
    <row r="48" spans="1:18" ht="51.65" customHeight="1" x14ac:dyDescent="0.35">
      <c r="A48" s="4"/>
      <c r="B48" s="373" t="s">
        <v>56</v>
      </c>
      <c r="C48" s="373"/>
      <c r="D48" s="373"/>
      <c r="E48" s="373"/>
      <c r="F48" s="374"/>
      <c r="G48" s="51" t="s">
        <v>4</v>
      </c>
      <c r="H48" s="51"/>
      <c r="I48" s="47"/>
      <c r="J48" s="48">
        <v>600</v>
      </c>
      <c r="K48" s="49">
        <v>19960100</v>
      </c>
      <c r="L48" s="49"/>
      <c r="M48" s="225">
        <f>K48+L48</f>
        <v>19960100</v>
      </c>
      <c r="N48" s="49"/>
      <c r="O48" s="353">
        <f>24509700-1300000</f>
        <v>23209700</v>
      </c>
      <c r="P48" s="353"/>
      <c r="Q48" s="363">
        <v>23209700</v>
      </c>
      <c r="R48" s="350">
        <f t="shared" si="1"/>
        <v>100</v>
      </c>
    </row>
    <row r="49" spans="1:18" ht="22.5" hidden="1" customHeight="1" x14ac:dyDescent="0.35">
      <c r="A49" s="4"/>
      <c r="B49" s="373" t="s">
        <v>55</v>
      </c>
      <c r="C49" s="373"/>
      <c r="D49" s="373"/>
      <c r="E49" s="373"/>
      <c r="F49" s="374"/>
      <c r="G49" s="51" t="s">
        <v>1</v>
      </c>
      <c r="H49" s="51"/>
      <c r="I49" s="47"/>
      <c r="J49" s="48">
        <v>800</v>
      </c>
      <c r="K49" s="49">
        <v>0</v>
      </c>
      <c r="L49" s="49"/>
      <c r="M49" s="225">
        <v>0</v>
      </c>
      <c r="N49" s="49"/>
      <c r="O49" s="355"/>
      <c r="P49" s="353"/>
      <c r="Q49" s="363"/>
      <c r="R49" s="350" t="e">
        <f t="shared" si="1"/>
        <v>#DIV/0!</v>
      </c>
    </row>
    <row r="50" spans="1:18" ht="50.5" customHeight="1" x14ac:dyDescent="0.35">
      <c r="A50" s="4"/>
      <c r="B50" s="373" t="s">
        <v>54</v>
      </c>
      <c r="C50" s="373"/>
      <c r="D50" s="373"/>
      <c r="E50" s="373"/>
      <c r="F50" s="374"/>
      <c r="G50" s="51" t="s">
        <v>66</v>
      </c>
      <c r="H50" s="51"/>
      <c r="I50" s="47" t="s">
        <v>371</v>
      </c>
      <c r="J50" s="48"/>
      <c r="K50" s="49">
        <f>K51</f>
        <v>8811500</v>
      </c>
      <c r="L50" s="49"/>
      <c r="M50" s="225">
        <f>M51</f>
        <v>7714400</v>
      </c>
      <c r="N50" s="49">
        <f>N51</f>
        <v>0</v>
      </c>
      <c r="O50" s="355">
        <f>O51</f>
        <v>10765000</v>
      </c>
      <c r="P50" s="353"/>
      <c r="Q50" s="363">
        <v>10765000</v>
      </c>
      <c r="R50" s="350">
        <f t="shared" si="1"/>
        <v>100</v>
      </c>
    </row>
    <row r="51" spans="1:18" ht="51.65" customHeight="1" x14ac:dyDescent="0.35">
      <c r="A51" s="4"/>
      <c r="B51" s="383">
        <v>500</v>
      </c>
      <c r="C51" s="383"/>
      <c r="D51" s="383"/>
      <c r="E51" s="383"/>
      <c r="F51" s="375"/>
      <c r="G51" s="51" t="s">
        <v>4</v>
      </c>
      <c r="H51" s="51"/>
      <c r="I51" s="52"/>
      <c r="J51" s="48">
        <v>600</v>
      </c>
      <c r="K51" s="49">
        <v>8811500</v>
      </c>
      <c r="L51" s="49"/>
      <c r="M51" s="225">
        <v>7714400</v>
      </c>
      <c r="N51" s="49"/>
      <c r="O51" s="353">
        <f>11065000-200000-100000</f>
        <v>10765000</v>
      </c>
      <c r="P51" s="353"/>
      <c r="Q51" s="363">
        <v>10765000</v>
      </c>
      <c r="R51" s="350">
        <f t="shared" si="1"/>
        <v>100</v>
      </c>
    </row>
    <row r="52" spans="1:18" ht="21.65" customHeight="1" x14ac:dyDescent="0.35">
      <c r="A52" s="4"/>
      <c r="B52" s="17"/>
      <c r="C52" s="17"/>
      <c r="D52" s="17"/>
      <c r="E52" s="17"/>
      <c r="F52" s="18"/>
      <c r="G52" s="51" t="s">
        <v>67</v>
      </c>
      <c r="H52" s="51"/>
      <c r="I52" s="47" t="s">
        <v>239</v>
      </c>
      <c r="J52" s="48"/>
      <c r="K52" s="49">
        <f>K53+K54+K55</f>
        <v>7540000</v>
      </c>
      <c r="L52" s="49"/>
      <c r="M52" s="225">
        <f>M53+M54+M55</f>
        <v>6583300</v>
      </c>
      <c r="N52" s="49">
        <f>N53+N54+N55</f>
        <v>0</v>
      </c>
      <c r="O52" s="355">
        <f>O53+O54+O55</f>
        <v>10200000</v>
      </c>
      <c r="P52" s="353"/>
      <c r="Q52" s="363">
        <v>10012861.290000001</v>
      </c>
      <c r="R52" s="350">
        <f t="shared" si="1"/>
        <v>98.165306764705889</v>
      </c>
    </row>
    <row r="53" spans="1:18" ht="67" customHeight="1" x14ac:dyDescent="0.35">
      <c r="A53" s="4"/>
      <c r="B53" s="17"/>
      <c r="C53" s="17"/>
      <c r="D53" s="17"/>
      <c r="E53" s="17"/>
      <c r="F53" s="18"/>
      <c r="G53" s="51" t="s">
        <v>3</v>
      </c>
      <c r="H53" s="51"/>
      <c r="I53" s="47" t="s">
        <v>0</v>
      </c>
      <c r="J53" s="48">
        <v>100</v>
      </c>
      <c r="K53" s="49">
        <v>6803100</v>
      </c>
      <c r="L53" s="49"/>
      <c r="M53" s="225">
        <v>5958300</v>
      </c>
      <c r="N53" s="49"/>
      <c r="O53" s="353">
        <f>9261000+150000+100000</f>
        <v>9511000</v>
      </c>
      <c r="P53" s="353"/>
      <c r="Q53" s="363">
        <v>9431013.6600000001</v>
      </c>
      <c r="R53" s="350">
        <f t="shared" si="1"/>
        <v>99.159012301545573</v>
      </c>
    </row>
    <row r="54" spans="1:18" ht="38.25" customHeight="1" x14ac:dyDescent="0.35">
      <c r="A54" s="4"/>
      <c r="B54" s="373" t="s">
        <v>53</v>
      </c>
      <c r="C54" s="373"/>
      <c r="D54" s="373"/>
      <c r="E54" s="373"/>
      <c r="F54" s="374"/>
      <c r="G54" s="51" t="s">
        <v>2</v>
      </c>
      <c r="H54" s="51"/>
      <c r="I54" s="47"/>
      <c r="J54" s="48">
        <v>200</v>
      </c>
      <c r="K54" s="49">
        <v>705900</v>
      </c>
      <c r="L54" s="49"/>
      <c r="M54" s="225">
        <v>592000</v>
      </c>
      <c r="N54" s="49"/>
      <c r="O54" s="353">
        <f>753000-80000</f>
        <v>673000</v>
      </c>
      <c r="P54" s="353"/>
      <c r="Q54" s="363">
        <v>568405.63</v>
      </c>
      <c r="R54" s="350">
        <f t="shared" si="1"/>
        <v>84.458488855869234</v>
      </c>
    </row>
    <row r="55" spans="1:18" ht="19" customHeight="1" x14ac:dyDescent="0.35">
      <c r="A55" s="4"/>
      <c r="B55" s="17"/>
      <c r="C55" s="17"/>
      <c r="D55" s="17"/>
      <c r="E55" s="17"/>
      <c r="F55" s="18"/>
      <c r="G55" s="51" t="s">
        <v>1</v>
      </c>
      <c r="H55" s="51"/>
      <c r="I55" s="47" t="s">
        <v>0</v>
      </c>
      <c r="J55" s="48">
        <v>800</v>
      </c>
      <c r="K55" s="49">
        <v>31000</v>
      </c>
      <c r="L55" s="49"/>
      <c r="M55" s="225">
        <v>33000</v>
      </c>
      <c r="N55" s="49"/>
      <c r="O55" s="353">
        <v>16000</v>
      </c>
      <c r="P55" s="353"/>
      <c r="Q55" s="363">
        <v>13442</v>
      </c>
      <c r="R55" s="350">
        <f t="shared" si="1"/>
        <v>84.012500000000003</v>
      </c>
    </row>
    <row r="56" spans="1:18" ht="20.25" hidden="1" customHeight="1" x14ac:dyDescent="0.35">
      <c r="A56" s="4"/>
      <c r="B56" s="17"/>
      <c r="C56" s="17"/>
      <c r="D56" s="17"/>
      <c r="E56" s="17"/>
      <c r="F56" s="18"/>
      <c r="G56" s="51" t="s">
        <v>95</v>
      </c>
      <c r="H56" s="51"/>
      <c r="I56" s="47" t="s">
        <v>240</v>
      </c>
      <c r="J56" s="116"/>
      <c r="K56" s="49">
        <f>K57</f>
        <v>0</v>
      </c>
      <c r="L56" s="121"/>
      <c r="M56" s="225">
        <f>M57</f>
        <v>0</v>
      </c>
      <c r="N56" s="49"/>
      <c r="O56" s="355"/>
      <c r="P56" s="353"/>
      <c r="Q56" s="363"/>
      <c r="R56" s="350" t="e">
        <f t="shared" si="1"/>
        <v>#DIV/0!</v>
      </c>
    </row>
    <row r="57" spans="1:18" ht="40.5" hidden="1" customHeight="1" x14ac:dyDescent="0.35">
      <c r="A57" s="4"/>
      <c r="B57" s="17"/>
      <c r="C57" s="17"/>
      <c r="D57" s="17"/>
      <c r="E57" s="17"/>
      <c r="F57" s="18"/>
      <c r="G57" s="51" t="s">
        <v>4</v>
      </c>
      <c r="H57" s="51"/>
      <c r="I57" s="52"/>
      <c r="J57" s="48">
        <v>600</v>
      </c>
      <c r="K57" s="49">
        <v>0</v>
      </c>
      <c r="L57" s="49"/>
      <c r="M57" s="225">
        <v>0</v>
      </c>
      <c r="N57" s="49"/>
      <c r="O57" s="355"/>
      <c r="P57" s="353"/>
      <c r="Q57" s="363"/>
      <c r="R57" s="350" t="e">
        <f t="shared" si="1"/>
        <v>#DIV/0!</v>
      </c>
    </row>
    <row r="58" spans="1:18" ht="48.65" hidden="1" customHeight="1" x14ac:dyDescent="0.35">
      <c r="A58" s="4"/>
      <c r="B58" s="375">
        <v>500</v>
      </c>
      <c r="C58" s="376"/>
      <c r="D58" s="376"/>
      <c r="E58" s="376"/>
      <c r="F58" s="377"/>
      <c r="G58" s="63" t="s">
        <v>372</v>
      </c>
      <c r="H58" s="63"/>
      <c r="I58" s="117" t="s">
        <v>325</v>
      </c>
      <c r="J58" s="48"/>
      <c r="K58" s="49">
        <f>K61+K63+K59</f>
        <v>0</v>
      </c>
      <c r="L58" s="49"/>
      <c r="M58" s="225">
        <f>M61+M63+M59</f>
        <v>0</v>
      </c>
      <c r="N58" s="49"/>
      <c r="O58" s="355"/>
      <c r="P58" s="353"/>
      <c r="Q58" s="363"/>
      <c r="R58" s="350" t="e">
        <f t="shared" si="1"/>
        <v>#DIV/0!</v>
      </c>
    </row>
    <row r="59" spans="1:18" ht="52.5" hidden="1" customHeight="1" x14ac:dyDescent="0.35">
      <c r="A59" s="4"/>
      <c r="B59" s="17"/>
      <c r="C59" s="17"/>
      <c r="D59" s="17"/>
      <c r="E59" s="17"/>
      <c r="F59" s="18"/>
      <c r="G59" s="51" t="s">
        <v>369</v>
      </c>
      <c r="H59" s="63"/>
      <c r="I59" s="52" t="s">
        <v>370</v>
      </c>
      <c r="J59" s="48"/>
      <c r="K59" s="49">
        <f>K60</f>
        <v>0</v>
      </c>
      <c r="L59" s="49"/>
      <c r="M59" s="225">
        <f>M60</f>
        <v>0</v>
      </c>
      <c r="N59" s="49"/>
      <c r="O59" s="355"/>
      <c r="P59" s="353"/>
      <c r="Q59" s="363"/>
      <c r="R59" s="350" t="e">
        <f t="shared" si="1"/>
        <v>#DIV/0!</v>
      </c>
    </row>
    <row r="60" spans="1:18" ht="37.4" hidden="1" customHeight="1" x14ac:dyDescent="0.35">
      <c r="A60" s="4"/>
      <c r="B60" s="17"/>
      <c r="C60" s="17"/>
      <c r="D60" s="17"/>
      <c r="E60" s="17"/>
      <c r="F60" s="18"/>
      <c r="G60" s="51" t="s">
        <v>4</v>
      </c>
      <c r="H60" s="63"/>
      <c r="I60" s="52"/>
      <c r="J60" s="48">
        <v>600</v>
      </c>
      <c r="K60" s="49">
        <v>0</v>
      </c>
      <c r="L60" s="49"/>
      <c r="M60" s="225">
        <v>0</v>
      </c>
      <c r="N60" s="49"/>
      <c r="O60" s="355"/>
      <c r="P60" s="353"/>
      <c r="Q60" s="363"/>
      <c r="R60" s="350" t="e">
        <f t="shared" si="1"/>
        <v>#DIV/0!</v>
      </c>
    </row>
    <row r="61" spans="1:18" ht="37.5" hidden="1" customHeight="1" x14ac:dyDescent="0.35">
      <c r="A61" s="4"/>
      <c r="B61" s="380" t="s">
        <v>52</v>
      </c>
      <c r="C61" s="381"/>
      <c r="D61" s="381"/>
      <c r="E61" s="381"/>
      <c r="F61" s="382"/>
      <c r="G61" s="51" t="s">
        <v>351</v>
      </c>
      <c r="H61" s="51"/>
      <c r="I61" s="52" t="s">
        <v>350</v>
      </c>
      <c r="J61" s="48"/>
      <c r="K61" s="49">
        <f>K62</f>
        <v>0</v>
      </c>
      <c r="L61" s="49"/>
      <c r="M61" s="225">
        <f>M62</f>
        <v>0</v>
      </c>
      <c r="N61" s="49"/>
      <c r="O61" s="355"/>
      <c r="P61" s="353"/>
      <c r="Q61" s="363"/>
      <c r="R61" s="350" t="e">
        <f t="shared" si="1"/>
        <v>#DIV/0!</v>
      </c>
    </row>
    <row r="62" spans="1:18" ht="35.9" hidden="1" customHeight="1" x14ac:dyDescent="0.35">
      <c r="A62" s="4"/>
      <c r="B62" s="375">
        <v>500</v>
      </c>
      <c r="C62" s="376"/>
      <c r="D62" s="376"/>
      <c r="E62" s="376"/>
      <c r="F62" s="377"/>
      <c r="G62" s="51" t="s">
        <v>4</v>
      </c>
      <c r="H62" s="51"/>
      <c r="I62" s="52"/>
      <c r="J62" s="48">
        <v>600</v>
      </c>
      <c r="K62" s="49">
        <v>0</v>
      </c>
      <c r="L62" s="49"/>
      <c r="M62" s="225">
        <v>0</v>
      </c>
      <c r="N62" s="49"/>
      <c r="O62" s="355"/>
      <c r="P62" s="353"/>
      <c r="Q62" s="363"/>
      <c r="R62" s="350" t="e">
        <f t="shared" si="1"/>
        <v>#DIV/0!</v>
      </c>
    </row>
    <row r="63" spans="1:18" ht="31.4" hidden="1" customHeight="1" x14ac:dyDescent="0.35">
      <c r="A63" s="4"/>
      <c r="B63" s="375" t="s">
        <v>51</v>
      </c>
      <c r="C63" s="376"/>
      <c r="D63" s="376"/>
      <c r="E63" s="376"/>
      <c r="F63" s="377"/>
      <c r="G63" s="51" t="s">
        <v>327</v>
      </c>
      <c r="H63" s="51"/>
      <c r="I63" s="52" t="s">
        <v>326</v>
      </c>
      <c r="J63" s="48"/>
      <c r="K63" s="49">
        <f>K64</f>
        <v>0</v>
      </c>
      <c r="L63" s="49"/>
      <c r="M63" s="225">
        <f>M64</f>
        <v>0</v>
      </c>
      <c r="N63" s="49"/>
      <c r="O63" s="355"/>
      <c r="P63" s="353"/>
      <c r="Q63" s="363"/>
      <c r="R63" s="350" t="e">
        <f t="shared" si="1"/>
        <v>#DIV/0!</v>
      </c>
    </row>
    <row r="64" spans="1:18" ht="35.15" hidden="1" customHeight="1" x14ac:dyDescent="0.35">
      <c r="A64" s="4"/>
      <c r="B64" s="375">
        <v>500</v>
      </c>
      <c r="C64" s="376"/>
      <c r="D64" s="376"/>
      <c r="E64" s="376"/>
      <c r="F64" s="377"/>
      <c r="G64" s="51" t="s">
        <v>4</v>
      </c>
      <c r="H64" s="51"/>
      <c r="I64" s="52"/>
      <c r="J64" s="48">
        <v>600</v>
      </c>
      <c r="K64" s="49"/>
      <c r="L64" s="49"/>
      <c r="M64" s="225"/>
      <c r="N64" s="49"/>
      <c r="O64" s="355"/>
      <c r="P64" s="353"/>
      <c r="Q64" s="363"/>
      <c r="R64" s="350" t="e">
        <f t="shared" si="1"/>
        <v>#DIV/0!</v>
      </c>
    </row>
    <row r="65" spans="1:18" ht="51" hidden="1" customHeight="1" x14ac:dyDescent="0.35">
      <c r="A65" s="4"/>
      <c r="B65" s="375">
        <v>500</v>
      </c>
      <c r="C65" s="376"/>
      <c r="D65" s="376"/>
      <c r="E65" s="376"/>
      <c r="F65" s="377"/>
      <c r="G65" s="51" t="s">
        <v>386</v>
      </c>
      <c r="H65" s="51"/>
      <c r="I65" s="47" t="s">
        <v>245</v>
      </c>
      <c r="J65" s="118"/>
      <c r="K65" s="49">
        <f>K66</f>
        <v>0</v>
      </c>
      <c r="L65" s="168"/>
      <c r="M65" s="225">
        <f>M66</f>
        <v>0</v>
      </c>
      <c r="N65" s="49"/>
      <c r="O65" s="355"/>
      <c r="P65" s="353"/>
      <c r="Q65" s="363"/>
      <c r="R65" s="350" t="e">
        <f t="shared" si="1"/>
        <v>#DIV/0!</v>
      </c>
    </row>
    <row r="66" spans="1:18" ht="57.75" hidden="1" customHeight="1" x14ac:dyDescent="0.35">
      <c r="A66" s="4"/>
      <c r="B66" s="17"/>
      <c r="C66" s="17"/>
      <c r="D66" s="17"/>
      <c r="E66" s="17"/>
      <c r="F66" s="18"/>
      <c r="G66" s="63" t="s">
        <v>248</v>
      </c>
      <c r="H66" s="51"/>
      <c r="I66" s="64" t="s">
        <v>246</v>
      </c>
      <c r="J66" s="118"/>
      <c r="K66" s="49">
        <f>K67</f>
        <v>0</v>
      </c>
      <c r="L66" s="168"/>
      <c r="M66" s="225">
        <f>M67</f>
        <v>0</v>
      </c>
      <c r="N66" s="49"/>
      <c r="O66" s="355"/>
      <c r="P66" s="353"/>
      <c r="Q66" s="363"/>
      <c r="R66" s="350" t="e">
        <f t="shared" si="1"/>
        <v>#DIV/0!</v>
      </c>
    </row>
    <row r="67" spans="1:18" ht="81.75" hidden="1" customHeight="1" x14ac:dyDescent="0.35">
      <c r="A67" s="4"/>
      <c r="B67" s="17"/>
      <c r="C67" s="17"/>
      <c r="D67" s="17"/>
      <c r="E67" s="17"/>
      <c r="F67" s="18"/>
      <c r="G67" s="51" t="s">
        <v>384</v>
      </c>
      <c r="H67" s="51"/>
      <c r="I67" s="47" t="s">
        <v>247</v>
      </c>
      <c r="J67" s="118"/>
      <c r="K67" s="49">
        <f>K68+K69</f>
        <v>0</v>
      </c>
      <c r="L67" s="168"/>
      <c r="M67" s="225">
        <f>M68+M69</f>
        <v>0</v>
      </c>
      <c r="N67" s="49"/>
      <c r="O67" s="355"/>
      <c r="P67" s="353"/>
      <c r="Q67" s="363"/>
      <c r="R67" s="350" t="e">
        <f t="shared" si="1"/>
        <v>#DIV/0!</v>
      </c>
    </row>
    <row r="68" spans="1:18" ht="33.75" hidden="1" customHeight="1" x14ac:dyDescent="0.35">
      <c r="A68" s="4"/>
      <c r="B68" s="17"/>
      <c r="C68" s="17"/>
      <c r="D68" s="17"/>
      <c r="E68" s="17"/>
      <c r="F68" s="18"/>
      <c r="G68" s="51" t="s">
        <v>2</v>
      </c>
      <c r="H68" s="51"/>
      <c r="I68" s="64"/>
      <c r="J68" s="48">
        <v>200</v>
      </c>
      <c r="K68" s="49"/>
      <c r="L68" s="49"/>
      <c r="M68" s="225"/>
      <c r="N68" s="49"/>
      <c r="O68" s="355"/>
      <c r="P68" s="353"/>
      <c r="Q68" s="363"/>
      <c r="R68" s="350" t="e">
        <f t="shared" si="1"/>
        <v>#DIV/0!</v>
      </c>
    </row>
    <row r="69" spans="1:18" ht="39.75" hidden="1" customHeight="1" x14ac:dyDescent="0.35">
      <c r="A69" s="4"/>
      <c r="B69" s="17"/>
      <c r="C69" s="17"/>
      <c r="D69" s="17"/>
      <c r="E69" s="17"/>
      <c r="F69" s="18"/>
      <c r="G69" s="51" t="s">
        <v>4</v>
      </c>
      <c r="H69" s="51"/>
      <c r="I69" s="64"/>
      <c r="J69" s="48">
        <v>600</v>
      </c>
      <c r="K69" s="49"/>
      <c r="L69" s="49"/>
      <c r="M69" s="225"/>
      <c r="N69" s="49"/>
      <c r="O69" s="355"/>
      <c r="P69" s="353"/>
      <c r="Q69" s="363"/>
      <c r="R69" s="350" t="e">
        <f t="shared" si="1"/>
        <v>#DIV/0!</v>
      </c>
    </row>
    <row r="70" spans="1:18" ht="25.5" hidden="1" customHeight="1" x14ac:dyDescent="0.35">
      <c r="A70" s="4"/>
      <c r="B70" s="17"/>
      <c r="C70" s="17"/>
      <c r="D70" s="17"/>
      <c r="E70" s="17"/>
      <c r="F70" s="18"/>
      <c r="G70" s="51" t="s">
        <v>382</v>
      </c>
      <c r="H70" s="115"/>
      <c r="I70" s="47" t="s">
        <v>249</v>
      </c>
      <c r="J70" s="116" t="s">
        <v>0</v>
      </c>
      <c r="K70" s="49">
        <f>K71</f>
        <v>0</v>
      </c>
      <c r="L70" s="121"/>
      <c r="M70" s="225">
        <f>M71</f>
        <v>0</v>
      </c>
      <c r="N70" s="49"/>
      <c r="O70" s="355"/>
      <c r="P70" s="353"/>
      <c r="Q70" s="363"/>
      <c r="R70" s="350" t="e">
        <f t="shared" si="1"/>
        <v>#DIV/0!</v>
      </c>
    </row>
    <row r="71" spans="1:18" ht="53.25" hidden="1" customHeight="1" x14ac:dyDescent="0.35">
      <c r="A71" s="4"/>
      <c r="B71" s="17"/>
      <c r="C71" s="17"/>
      <c r="D71" s="17"/>
      <c r="E71" s="17"/>
      <c r="F71" s="18"/>
      <c r="G71" s="63" t="s">
        <v>251</v>
      </c>
      <c r="H71" s="63"/>
      <c r="I71" s="64" t="s">
        <v>250</v>
      </c>
      <c r="J71" s="116"/>
      <c r="K71" s="49">
        <f>K72</f>
        <v>0</v>
      </c>
      <c r="L71" s="121"/>
      <c r="M71" s="225">
        <f>M72</f>
        <v>0</v>
      </c>
      <c r="N71" s="49"/>
      <c r="O71" s="355"/>
      <c r="P71" s="353"/>
      <c r="Q71" s="363"/>
      <c r="R71" s="350" t="e">
        <f t="shared" si="1"/>
        <v>#DIV/0!</v>
      </c>
    </row>
    <row r="72" spans="1:18" ht="37.5" hidden="1" customHeight="1" x14ac:dyDescent="0.35">
      <c r="A72" s="4"/>
      <c r="B72" s="17"/>
      <c r="C72" s="17"/>
      <c r="D72" s="17"/>
      <c r="E72" s="17"/>
      <c r="F72" s="18"/>
      <c r="G72" s="51" t="s">
        <v>383</v>
      </c>
      <c r="H72" s="51"/>
      <c r="I72" s="64" t="s">
        <v>252</v>
      </c>
      <c r="J72" s="48"/>
      <c r="K72" s="49">
        <f>K73+K74</f>
        <v>0</v>
      </c>
      <c r="L72" s="49"/>
      <c r="M72" s="225">
        <f>M73+M74</f>
        <v>0</v>
      </c>
      <c r="N72" s="49"/>
      <c r="O72" s="355"/>
      <c r="P72" s="353"/>
      <c r="Q72" s="363"/>
      <c r="R72" s="350" t="e">
        <f t="shared" si="1"/>
        <v>#DIV/0!</v>
      </c>
    </row>
    <row r="73" spans="1:18" s="50" customFormat="1" ht="42.75" hidden="1" customHeight="1" x14ac:dyDescent="0.35">
      <c r="A73" s="44"/>
      <c r="B73" s="388" t="s">
        <v>50</v>
      </c>
      <c r="C73" s="389"/>
      <c r="D73" s="389"/>
      <c r="E73" s="389"/>
      <c r="F73" s="390"/>
      <c r="G73" s="51" t="s">
        <v>2</v>
      </c>
      <c r="H73" s="51"/>
      <c r="I73" s="52"/>
      <c r="J73" s="48">
        <v>200</v>
      </c>
      <c r="K73" s="49"/>
      <c r="L73" s="49"/>
      <c r="M73" s="225"/>
      <c r="N73" s="49"/>
      <c r="O73" s="355"/>
      <c r="P73" s="353"/>
      <c r="Q73" s="363"/>
      <c r="R73" s="350" t="e">
        <f t="shared" si="1"/>
        <v>#DIV/0!</v>
      </c>
    </row>
    <row r="74" spans="1:18" s="50" customFormat="1" ht="43.5" hidden="1" customHeight="1" x14ac:dyDescent="0.35">
      <c r="A74" s="44"/>
      <c r="B74" s="45"/>
      <c r="C74" s="45"/>
      <c r="D74" s="45"/>
      <c r="E74" s="45"/>
      <c r="F74" s="46"/>
      <c r="G74" s="51" t="s">
        <v>4</v>
      </c>
      <c r="H74" s="51"/>
      <c r="I74" s="52"/>
      <c r="J74" s="48">
        <v>600</v>
      </c>
      <c r="K74" s="49"/>
      <c r="L74" s="49"/>
      <c r="M74" s="225"/>
      <c r="N74" s="49"/>
      <c r="O74" s="355"/>
      <c r="P74" s="353"/>
      <c r="Q74" s="363"/>
      <c r="R74" s="350" t="e">
        <f t="shared" si="1"/>
        <v>#DIV/0!</v>
      </c>
    </row>
    <row r="75" spans="1:18" s="50" customFormat="1" ht="43.4" hidden="1" customHeight="1" x14ac:dyDescent="0.35">
      <c r="A75" s="44"/>
      <c r="B75" s="171"/>
      <c r="C75" s="171"/>
      <c r="D75" s="171"/>
      <c r="E75" s="171"/>
      <c r="F75" s="172"/>
      <c r="G75" s="51"/>
      <c r="H75" s="51"/>
      <c r="I75" s="52"/>
      <c r="J75" s="48"/>
      <c r="K75" s="49"/>
      <c r="L75" s="49"/>
      <c r="M75" s="225"/>
      <c r="N75" s="49"/>
      <c r="O75" s="355"/>
      <c r="P75" s="353"/>
      <c r="Q75" s="363"/>
      <c r="R75" s="350" t="e">
        <f t="shared" si="1"/>
        <v>#DIV/0!</v>
      </c>
    </row>
    <row r="76" spans="1:18" s="50" customFormat="1" ht="46" hidden="1" customHeight="1" x14ac:dyDescent="0.35">
      <c r="A76" s="44"/>
      <c r="B76" s="171"/>
      <c r="C76" s="171"/>
      <c r="D76" s="171"/>
      <c r="E76" s="171"/>
      <c r="F76" s="172"/>
      <c r="G76" s="51" t="s">
        <v>466</v>
      </c>
      <c r="H76" s="51"/>
      <c r="I76" s="160" t="s">
        <v>240</v>
      </c>
      <c r="J76" s="48"/>
      <c r="K76" s="49">
        <f>K77</f>
        <v>0</v>
      </c>
      <c r="L76" s="49">
        <f>L77</f>
        <v>0</v>
      </c>
      <c r="M76" s="225">
        <f>M77</f>
        <v>0</v>
      </c>
      <c r="N76" s="49"/>
      <c r="O76" s="355">
        <f>O77</f>
        <v>0</v>
      </c>
      <c r="P76" s="353"/>
      <c r="Q76" s="363"/>
      <c r="R76" s="350" t="e">
        <f t="shared" si="1"/>
        <v>#DIV/0!</v>
      </c>
    </row>
    <row r="77" spans="1:18" s="50" customFormat="1" ht="16.5" hidden="1" customHeight="1" x14ac:dyDescent="0.35">
      <c r="A77" s="44"/>
      <c r="B77" s="171"/>
      <c r="C77" s="171"/>
      <c r="D77" s="171"/>
      <c r="E77" s="171"/>
      <c r="F77" s="190"/>
      <c r="G77" s="51" t="s">
        <v>4</v>
      </c>
      <c r="H77" s="51"/>
      <c r="I77" s="52"/>
      <c r="J77" s="48">
        <v>600</v>
      </c>
      <c r="K77" s="49"/>
      <c r="L77" s="49"/>
      <c r="M77" s="225">
        <f>K77+L77</f>
        <v>0</v>
      </c>
      <c r="N77" s="49"/>
      <c r="O77" s="355"/>
      <c r="P77" s="353"/>
      <c r="Q77" s="363"/>
      <c r="R77" s="350" t="e">
        <f t="shared" si="1"/>
        <v>#DIV/0!</v>
      </c>
    </row>
    <row r="78" spans="1:18" s="50" customFormat="1" ht="28.5" customHeight="1" x14ac:dyDescent="0.35">
      <c r="A78" s="44"/>
      <c r="B78" s="152"/>
      <c r="C78" s="152"/>
      <c r="D78" s="152"/>
      <c r="E78" s="152"/>
      <c r="F78" s="153"/>
      <c r="G78" s="51" t="s">
        <v>411</v>
      </c>
      <c r="H78" s="51"/>
      <c r="I78" s="160" t="s">
        <v>410</v>
      </c>
      <c r="J78" s="48"/>
      <c r="K78" s="49">
        <f>K79</f>
        <v>9112867</v>
      </c>
      <c r="L78" s="49"/>
      <c r="M78" s="225">
        <f>M79</f>
        <v>8328056</v>
      </c>
      <c r="N78" s="49">
        <f>N79</f>
        <v>0</v>
      </c>
      <c r="O78" s="355">
        <f>O79</f>
        <v>12897572</v>
      </c>
      <c r="P78" s="353"/>
      <c r="Q78" s="363">
        <v>12897572</v>
      </c>
      <c r="R78" s="350">
        <f t="shared" si="1"/>
        <v>100</v>
      </c>
    </row>
    <row r="79" spans="1:18" s="50" customFormat="1" ht="36.5" customHeight="1" x14ac:dyDescent="0.35">
      <c r="A79" s="44"/>
      <c r="B79" s="152"/>
      <c r="C79" s="152"/>
      <c r="D79" s="152"/>
      <c r="E79" s="152"/>
      <c r="F79" s="153"/>
      <c r="G79" s="51" t="s">
        <v>4</v>
      </c>
      <c r="H79" s="51"/>
      <c r="I79" s="52"/>
      <c r="J79" s="48">
        <v>600</v>
      </c>
      <c r="K79" s="49">
        <v>9112867</v>
      </c>
      <c r="L79" s="49"/>
      <c r="M79" s="225">
        <v>8328056</v>
      </c>
      <c r="N79" s="49"/>
      <c r="O79" s="355">
        <v>12897572</v>
      </c>
      <c r="P79" s="353"/>
      <c r="Q79" s="363">
        <v>12897572</v>
      </c>
      <c r="R79" s="350">
        <f t="shared" si="1"/>
        <v>100</v>
      </c>
    </row>
    <row r="80" spans="1:18" s="50" customFormat="1" ht="44.25" hidden="1" customHeight="1" x14ac:dyDescent="0.35">
      <c r="A80" s="44"/>
      <c r="B80" s="171"/>
      <c r="C80" s="171"/>
      <c r="D80" s="171"/>
      <c r="E80" s="171"/>
      <c r="F80" s="192"/>
      <c r="G80" s="51" t="s">
        <v>478</v>
      </c>
      <c r="H80" s="51"/>
      <c r="I80" s="160" t="s">
        <v>476</v>
      </c>
      <c r="J80" s="48"/>
      <c r="K80" s="49">
        <f>K81</f>
        <v>0</v>
      </c>
      <c r="L80" s="49">
        <f>L81</f>
        <v>5557</v>
      </c>
      <c r="M80" s="225">
        <f>M81</f>
        <v>5557</v>
      </c>
      <c r="N80" s="49"/>
      <c r="O80" s="354"/>
      <c r="P80" s="353"/>
      <c r="Q80" s="363"/>
      <c r="R80" s="350" t="e">
        <f t="shared" si="1"/>
        <v>#DIV/0!</v>
      </c>
    </row>
    <row r="81" spans="1:18" s="50" customFormat="1" ht="63" hidden="1" customHeight="1" x14ac:dyDescent="0.35">
      <c r="A81" s="44"/>
      <c r="B81" s="171"/>
      <c r="C81" s="171"/>
      <c r="D81" s="171"/>
      <c r="E81" s="171"/>
      <c r="F81" s="192"/>
      <c r="G81" s="51" t="s">
        <v>4</v>
      </c>
      <c r="H81" s="51"/>
      <c r="I81" s="52"/>
      <c r="J81" s="48">
        <v>600</v>
      </c>
      <c r="K81" s="49">
        <v>0</v>
      </c>
      <c r="L81" s="49">
        <v>5557</v>
      </c>
      <c r="M81" s="225">
        <f>L81+K81</f>
        <v>5557</v>
      </c>
      <c r="N81" s="49"/>
      <c r="O81" s="354"/>
      <c r="P81" s="353"/>
      <c r="Q81" s="363"/>
      <c r="R81" s="350" t="e">
        <f t="shared" ref="R81:R144" si="4">Q81/O81*100</f>
        <v>#DIV/0!</v>
      </c>
    </row>
    <row r="82" spans="1:18" s="50" customFormat="1" ht="63" hidden="1" customHeight="1" x14ac:dyDescent="0.35">
      <c r="A82" s="44"/>
      <c r="B82" s="171"/>
      <c r="C82" s="171"/>
      <c r="D82" s="171"/>
      <c r="E82" s="171"/>
      <c r="F82" s="192"/>
      <c r="G82" s="51" t="s">
        <v>479</v>
      </c>
      <c r="H82" s="51"/>
      <c r="I82" s="160" t="s">
        <v>477</v>
      </c>
      <c r="J82" s="48"/>
      <c r="K82" s="49">
        <f>K83</f>
        <v>0</v>
      </c>
      <c r="L82" s="49">
        <f>L83</f>
        <v>150000</v>
      </c>
      <c r="M82" s="225">
        <f>M83</f>
        <v>150000</v>
      </c>
      <c r="N82" s="49"/>
      <c r="O82" s="354"/>
      <c r="P82" s="353"/>
      <c r="Q82" s="363"/>
      <c r="R82" s="350" t="e">
        <f t="shared" si="4"/>
        <v>#DIV/0!</v>
      </c>
    </row>
    <row r="83" spans="1:18" s="50" customFormat="1" ht="39" hidden="1" customHeight="1" x14ac:dyDescent="0.35">
      <c r="A83" s="44"/>
      <c r="B83" s="171"/>
      <c r="C83" s="171"/>
      <c r="D83" s="171"/>
      <c r="E83" s="171"/>
      <c r="F83" s="192"/>
      <c r="G83" s="51" t="s">
        <v>4</v>
      </c>
      <c r="H83" s="51"/>
      <c r="I83" s="52"/>
      <c r="J83" s="48">
        <v>600</v>
      </c>
      <c r="K83" s="49">
        <v>0</v>
      </c>
      <c r="L83" s="49">
        <v>150000</v>
      </c>
      <c r="M83" s="225">
        <f>L83+K83</f>
        <v>150000</v>
      </c>
      <c r="N83" s="49"/>
      <c r="O83" s="354"/>
      <c r="P83" s="353"/>
      <c r="Q83" s="363"/>
      <c r="R83" s="350" t="e">
        <f t="shared" si="4"/>
        <v>#DIV/0!</v>
      </c>
    </row>
    <row r="84" spans="1:18" s="50" customFormat="1" ht="13.5" hidden="1" customHeight="1" x14ac:dyDescent="0.35">
      <c r="A84" s="44"/>
      <c r="B84" s="166"/>
      <c r="C84" s="166"/>
      <c r="D84" s="166"/>
      <c r="E84" s="166"/>
      <c r="F84" s="167"/>
      <c r="G84" s="63" t="s">
        <v>434</v>
      </c>
      <c r="H84" s="51"/>
      <c r="I84" s="117" t="s">
        <v>325</v>
      </c>
      <c r="J84" s="118"/>
      <c r="K84" s="49">
        <f t="shared" ref="K84:M85" si="5">K85</f>
        <v>0</v>
      </c>
      <c r="L84" s="49">
        <f t="shared" si="5"/>
        <v>294730</v>
      </c>
      <c r="M84" s="225">
        <f t="shared" si="5"/>
        <v>294730</v>
      </c>
      <c r="N84" s="49"/>
      <c r="O84" s="354"/>
      <c r="P84" s="353"/>
      <c r="Q84" s="363"/>
      <c r="R84" s="350" t="e">
        <f t="shared" si="4"/>
        <v>#DIV/0!</v>
      </c>
    </row>
    <row r="85" spans="1:18" s="50" customFormat="1" ht="14" hidden="1" customHeight="1" x14ac:dyDescent="0.35">
      <c r="A85" s="44"/>
      <c r="B85" s="166"/>
      <c r="C85" s="166"/>
      <c r="D85" s="166"/>
      <c r="E85" s="166"/>
      <c r="F85" s="167"/>
      <c r="G85" s="51" t="s">
        <v>435</v>
      </c>
      <c r="H85" s="51"/>
      <c r="I85" s="52" t="s">
        <v>436</v>
      </c>
      <c r="J85" s="48"/>
      <c r="K85" s="49">
        <f t="shared" si="5"/>
        <v>0</v>
      </c>
      <c r="L85" s="49">
        <f t="shared" si="5"/>
        <v>294730</v>
      </c>
      <c r="M85" s="225">
        <f t="shared" si="5"/>
        <v>294730</v>
      </c>
      <c r="N85" s="49"/>
      <c r="O85" s="354"/>
      <c r="P85" s="353"/>
      <c r="Q85" s="363"/>
      <c r="R85" s="350" t="e">
        <f t="shared" si="4"/>
        <v>#DIV/0!</v>
      </c>
    </row>
    <row r="86" spans="1:18" s="50" customFormat="1" ht="9" hidden="1" customHeight="1" x14ac:dyDescent="0.35">
      <c r="A86" s="44"/>
      <c r="B86" s="166"/>
      <c r="C86" s="166"/>
      <c r="D86" s="166"/>
      <c r="E86" s="166"/>
      <c r="F86" s="167"/>
      <c r="G86" s="51" t="s">
        <v>4</v>
      </c>
      <c r="H86" s="51"/>
      <c r="I86" s="52"/>
      <c r="J86" s="48">
        <v>600</v>
      </c>
      <c r="K86" s="49"/>
      <c r="L86" s="49">
        <f>131564+163166</f>
        <v>294730</v>
      </c>
      <c r="M86" s="225">
        <f>K86+L86</f>
        <v>294730</v>
      </c>
      <c r="N86" s="49"/>
      <c r="O86" s="354"/>
      <c r="P86" s="353"/>
      <c r="Q86" s="363"/>
      <c r="R86" s="350" t="e">
        <f t="shared" si="4"/>
        <v>#DIV/0!</v>
      </c>
    </row>
    <row r="87" spans="1:18" s="50" customFormat="1" ht="36.65" customHeight="1" x14ac:dyDescent="0.35">
      <c r="A87" s="44"/>
      <c r="B87" s="171"/>
      <c r="C87" s="171"/>
      <c r="D87" s="171"/>
      <c r="E87" s="171"/>
      <c r="F87" s="301"/>
      <c r="G87" s="51" t="s">
        <v>620</v>
      </c>
      <c r="H87" s="51"/>
      <c r="I87" s="47" t="s">
        <v>619</v>
      </c>
      <c r="J87" s="48"/>
      <c r="K87" s="49"/>
      <c r="L87" s="49"/>
      <c r="M87" s="225"/>
      <c r="N87" s="49"/>
      <c r="O87" s="355">
        <f>O88</f>
        <v>500000</v>
      </c>
      <c r="P87" s="353"/>
      <c r="Q87" s="363">
        <v>500000</v>
      </c>
      <c r="R87" s="350">
        <f t="shared" si="4"/>
        <v>100</v>
      </c>
    </row>
    <row r="88" spans="1:18" s="50" customFormat="1" ht="36.65" customHeight="1" x14ac:dyDescent="0.35">
      <c r="A88" s="44"/>
      <c r="B88" s="171"/>
      <c r="C88" s="171"/>
      <c r="D88" s="171"/>
      <c r="E88" s="171"/>
      <c r="F88" s="301"/>
      <c r="G88" s="51" t="s">
        <v>4</v>
      </c>
      <c r="H88" s="51"/>
      <c r="I88" s="286"/>
      <c r="J88" s="48">
        <v>600</v>
      </c>
      <c r="K88" s="49"/>
      <c r="L88" s="49"/>
      <c r="M88" s="225"/>
      <c r="N88" s="49"/>
      <c r="O88" s="355">
        <v>500000</v>
      </c>
      <c r="P88" s="353"/>
      <c r="Q88" s="363">
        <v>500000</v>
      </c>
      <c r="R88" s="350">
        <f t="shared" si="4"/>
        <v>100</v>
      </c>
    </row>
    <row r="89" spans="1:18" s="50" customFormat="1" ht="39" customHeight="1" x14ac:dyDescent="0.35">
      <c r="A89" s="44"/>
      <c r="B89" s="171"/>
      <c r="C89" s="171"/>
      <c r="D89" s="171"/>
      <c r="E89" s="171"/>
      <c r="F89" s="285"/>
      <c r="G89" s="14" t="s">
        <v>466</v>
      </c>
      <c r="H89" s="51"/>
      <c r="I89" s="160" t="s">
        <v>240</v>
      </c>
      <c r="J89" s="48"/>
      <c r="K89" s="49"/>
      <c r="L89" s="49"/>
      <c r="M89" s="225"/>
      <c r="N89" s="49"/>
      <c r="O89" s="355">
        <f>O90</f>
        <v>1588848</v>
      </c>
      <c r="P89" s="353"/>
      <c r="Q89" s="363">
        <v>1588848</v>
      </c>
      <c r="R89" s="350">
        <f t="shared" si="4"/>
        <v>100</v>
      </c>
    </row>
    <row r="90" spans="1:18" s="50" customFormat="1" ht="36.65" customHeight="1" x14ac:dyDescent="0.35">
      <c r="A90" s="44"/>
      <c r="B90" s="171"/>
      <c r="C90" s="171"/>
      <c r="D90" s="171"/>
      <c r="E90" s="171"/>
      <c r="F90" s="285"/>
      <c r="G90" s="51" t="s">
        <v>4</v>
      </c>
      <c r="H90" s="51"/>
      <c r="I90" s="286"/>
      <c r="J90" s="48">
        <v>600</v>
      </c>
      <c r="K90" s="49"/>
      <c r="L90" s="49"/>
      <c r="M90" s="225"/>
      <c r="N90" s="49"/>
      <c r="O90" s="355">
        <v>1588848</v>
      </c>
      <c r="P90" s="353"/>
      <c r="Q90" s="363">
        <v>1588848</v>
      </c>
      <c r="R90" s="350">
        <f t="shared" si="4"/>
        <v>100</v>
      </c>
    </row>
    <row r="91" spans="1:18" s="50" customFormat="1" ht="53.15" customHeight="1" x14ac:dyDescent="0.35">
      <c r="A91" s="44"/>
      <c r="B91" s="171"/>
      <c r="C91" s="171"/>
      <c r="D91" s="171"/>
      <c r="E91" s="171"/>
      <c r="F91" s="285"/>
      <c r="G91" s="14" t="s">
        <v>609</v>
      </c>
      <c r="H91" s="51"/>
      <c r="I91" s="160" t="s">
        <v>608</v>
      </c>
      <c r="J91" s="48"/>
      <c r="K91" s="49"/>
      <c r="L91" s="49"/>
      <c r="M91" s="225"/>
      <c r="N91" s="49"/>
      <c r="O91" s="355">
        <f>O92</f>
        <v>240000</v>
      </c>
      <c r="P91" s="353"/>
      <c r="Q91" s="363">
        <v>240000</v>
      </c>
      <c r="R91" s="350">
        <f t="shared" si="4"/>
        <v>100</v>
      </c>
    </row>
    <row r="92" spans="1:18" s="50" customFormat="1" ht="36.65" customHeight="1" x14ac:dyDescent="0.35">
      <c r="A92" s="44"/>
      <c r="B92" s="171"/>
      <c r="C92" s="171"/>
      <c r="D92" s="171"/>
      <c r="E92" s="171"/>
      <c r="F92" s="285"/>
      <c r="G92" s="51" t="s">
        <v>4</v>
      </c>
      <c r="H92" s="51"/>
      <c r="I92" s="286"/>
      <c r="J92" s="48">
        <v>600</v>
      </c>
      <c r="K92" s="49"/>
      <c r="L92" s="49"/>
      <c r="M92" s="225"/>
      <c r="N92" s="49"/>
      <c r="O92" s="355">
        <v>240000</v>
      </c>
      <c r="P92" s="353"/>
      <c r="Q92" s="363">
        <v>240000</v>
      </c>
      <c r="R92" s="350">
        <f t="shared" si="4"/>
        <v>100</v>
      </c>
    </row>
    <row r="93" spans="1:18" s="50" customFormat="1" ht="25" customHeight="1" x14ac:dyDescent="0.35">
      <c r="A93" s="44"/>
      <c r="B93" s="171"/>
      <c r="C93" s="171"/>
      <c r="D93" s="171"/>
      <c r="E93" s="171"/>
      <c r="F93" s="258"/>
      <c r="G93" s="51" t="s">
        <v>569</v>
      </c>
      <c r="H93" s="51"/>
      <c r="I93" s="259" t="s">
        <v>476</v>
      </c>
      <c r="J93" s="48"/>
      <c r="K93" s="49"/>
      <c r="L93" s="49"/>
      <c r="M93" s="225"/>
      <c r="N93" s="49"/>
      <c r="O93" s="355">
        <f>O94</f>
        <v>95384</v>
      </c>
      <c r="P93" s="353"/>
      <c r="Q93" s="363">
        <f>Q94</f>
        <v>95383.55</v>
      </c>
      <c r="R93" s="350">
        <f t="shared" si="4"/>
        <v>99.999528222762734</v>
      </c>
    </row>
    <row r="94" spans="1:18" s="50" customFormat="1" ht="36.65" customHeight="1" x14ac:dyDescent="0.35">
      <c r="A94" s="44"/>
      <c r="B94" s="171"/>
      <c r="C94" s="171"/>
      <c r="D94" s="171"/>
      <c r="E94" s="171"/>
      <c r="F94" s="258"/>
      <c r="G94" s="51" t="s">
        <v>4</v>
      </c>
      <c r="H94" s="51"/>
      <c r="I94" s="52"/>
      <c r="J94" s="48">
        <v>600</v>
      </c>
      <c r="K94" s="49"/>
      <c r="L94" s="49"/>
      <c r="M94" s="225"/>
      <c r="N94" s="49"/>
      <c r="O94" s="355">
        <f>4447+90584+353</f>
        <v>95384</v>
      </c>
      <c r="P94" s="353"/>
      <c r="Q94" s="363">
        <v>95383.55</v>
      </c>
      <c r="R94" s="350">
        <f t="shared" si="4"/>
        <v>99.999528222762734</v>
      </c>
    </row>
    <row r="95" spans="1:18" s="50" customFormat="1" ht="84" customHeight="1" x14ac:dyDescent="0.35">
      <c r="A95" s="44"/>
      <c r="B95" s="171"/>
      <c r="C95" s="171"/>
      <c r="D95" s="171"/>
      <c r="E95" s="171"/>
      <c r="F95" s="280"/>
      <c r="G95" s="14" t="s">
        <v>434</v>
      </c>
      <c r="H95" s="51"/>
      <c r="I95" s="256" t="s">
        <v>325</v>
      </c>
      <c r="J95" s="48"/>
      <c r="K95" s="49"/>
      <c r="L95" s="49"/>
      <c r="M95" s="225"/>
      <c r="N95" s="49"/>
      <c r="O95" s="355">
        <f>O96+O98</f>
        <v>3384508</v>
      </c>
      <c r="P95" s="353"/>
      <c r="Q95" s="363">
        <f>Q96+Q98</f>
        <v>3384503.73</v>
      </c>
      <c r="R95" s="350">
        <f t="shared" si="4"/>
        <v>99.999873836906289</v>
      </c>
    </row>
    <row r="96" spans="1:18" s="50" customFormat="1" ht="69.75" hidden="1" customHeight="1" x14ac:dyDescent="0.35">
      <c r="A96" s="44"/>
      <c r="B96" s="171"/>
      <c r="C96" s="171"/>
      <c r="D96" s="171"/>
      <c r="E96" s="171"/>
      <c r="F96" s="280"/>
      <c r="G96" s="14" t="s">
        <v>540</v>
      </c>
      <c r="H96" s="51"/>
      <c r="I96" s="259" t="s">
        <v>539</v>
      </c>
      <c r="J96" s="48"/>
      <c r="K96" s="49"/>
      <c r="L96" s="49"/>
      <c r="M96" s="225"/>
      <c r="N96" s="49"/>
      <c r="O96" s="355">
        <f>O97</f>
        <v>0</v>
      </c>
      <c r="P96" s="353"/>
      <c r="Q96" s="363"/>
      <c r="R96" s="350" t="e">
        <f t="shared" si="4"/>
        <v>#DIV/0!</v>
      </c>
    </row>
    <row r="97" spans="1:18" s="50" customFormat="1" ht="36.65" hidden="1" customHeight="1" x14ac:dyDescent="0.35">
      <c r="A97" s="44"/>
      <c r="B97" s="171"/>
      <c r="C97" s="171"/>
      <c r="D97" s="171"/>
      <c r="E97" s="171"/>
      <c r="F97" s="280"/>
      <c r="G97" s="51" t="s">
        <v>4</v>
      </c>
      <c r="H97" s="51"/>
      <c r="I97" s="52"/>
      <c r="J97" s="48">
        <v>600</v>
      </c>
      <c r="K97" s="49"/>
      <c r="L97" s="49"/>
      <c r="M97" s="225"/>
      <c r="N97" s="49"/>
      <c r="O97" s="353"/>
      <c r="P97" s="353"/>
      <c r="Q97" s="363"/>
      <c r="R97" s="350" t="e">
        <f t="shared" si="4"/>
        <v>#DIV/0!</v>
      </c>
    </row>
    <row r="98" spans="1:18" s="50" customFormat="1" ht="45" customHeight="1" x14ac:dyDescent="0.35">
      <c r="A98" s="44"/>
      <c r="B98" s="171"/>
      <c r="C98" s="171"/>
      <c r="D98" s="171"/>
      <c r="E98" s="171"/>
      <c r="F98" s="280"/>
      <c r="G98" s="14" t="s">
        <v>435</v>
      </c>
      <c r="H98" s="51"/>
      <c r="I98" s="259" t="s">
        <v>436</v>
      </c>
      <c r="J98" s="48"/>
      <c r="K98" s="49"/>
      <c r="L98" s="49"/>
      <c r="M98" s="225"/>
      <c r="N98" s="49"/>
      <c r="O98" s="355">
        <f>O99</f>
        <v>3384508</v>
      </c>
      <c r="P98" s="353"/>
      <c r="Q98" s="363">
        <v>3384503.73</v>
      </c>
      <c r="R98" s="350">
        <f t="shared" si="4"/>
        <v>99.999873836906289</v>
      </c>
    </row>
    <row r="99" spans="1:18" s="50" customFormat="1" ht="36.65" customHeight="1" x14ac:dyDescent="0.35">
      <c r="A99" s="44"/>
      <c r="B99" s="171"/>
      <c r="C99" s="171"/>
      <c r="D99" s="171"/>
      <c r="E99" s="171"/>
      <c r="F99" s="280"/>
      <c r="G99" s="51" t="s">
        <v>4</v>
      </c>
      <c r="H99" s="51"/>
      <c r="I99" s="52"/>
      <c r="J99" s="48">
        <v>600</v>
      </c>
      <c r="K99" s="49"/>
      <c r="L99" s="49"/>
      <c r="M99" s="225"/>
      <c r="N99" s="49"/>
      <c r="O99" s="353">
        <f>3419398-34890</f>
        <v>3384508</v>
      </c>
      <c r="P99" s="353"/>
      <c r="Q99" s="363">
        <v>3384503.73</v>
      </c>
      <c r="R99" s="350">
        <f t="shared" si="4"/>
        <v>99.999873836906289</v>
      </c>
    </row>
    <row r="100" spans="1:18" s="50" customFormat="1" ht="36.65" hidden="1" customHeight="1" x14ac:dyDescent="0.35">
      <c r="A100" s="44"/>
      <c r="B100" s="171"/>
      <c r="C100" s="171"/>
      <c r="D100" s="171"/>
      <c r="E100" s="171"/>
      <c r="F100" s="255"/>
      <c r="G100" s="63" t="s">
        <v>572</v>
      </c>
      <c r="H100" s="51"/>
      <c r="I100" s="256" t="s">
        <v>570</v>
      </c>
      <c r="J100" s="48"/>
      <c r="K100" s="49"/>
      <c r="L100" s="49"/>
      <c r="M100" s="225"/>
      <c r="N100" s="49"/>
      <c r="O100" s="355">
        <f t="shared" ref="O100:O101" si="6">O101</f>
        <v>0</v>
      </c>
      <c r="P100" s="353"/>
      <c r="Q100" s="363"/>
      <c r="R100" s="350" t="e">
        <f t="shared" si="4"/>
        <v>#DIV/0!</v>
      </c>
    </row>
    <row r="101" spans="1:18" s="50" customFormat="1" ht="57" hidden="1" customHeight="1" x14ac:dyDescent="0.35">
      <c r="A101" s="44"/>
      <c r="B101" s="171"/>
      <c r="C101" s="171"/>
      <c r="D101" s="171"/>
      <c r="E101" s="171"/>
      <c r="F101" s="255"/>
      <c r="G101" s="264" t="s">
        <v>579</v>
      </c>
      <c r="H101" s="51"/>
      <c r="I101" s="160" t="s">
        <v>571</v>
      </c>
      <c r="J101" s="48"/>
      <c r="K101" s="49"/>
      <c r="L101" s="49"/>
      <c r="M101" s="225"/>
      <c r="N101" s="49"/>
      <c r="O101" s="355">
        <f t="shared" si="6"/>
        <v>0</v>
      </c>
      <c r="P101" s="353"/>
      <c r="Q101" s="363"/>
      <c r="R101" s="350" t="e">
        <f t="shared" si="4"/>
        <v>#DIV/0!</v>
      </c>
    </row>
    <row r="102" spans="1:18" s="50" customFormat="1" ht="47.25" hidden="1" customHeight="1" x14ac:dyDescent="0.35">
      <c r="A102" s="44"/>
      <c r="B102" s="171"/>
      <c r="C102" s="171"/>
      <c r="D102" s="171"/>
      <c r="E102" s="171"/>
      <c r="F102" s="255"/>
      <c r="G102" s="51" t="s">
        <v>4</v>
      </c>
      <c r="H102" s="51"/>
      <c r="I102" s="52"/>
      <c r="J102" s="48">
        <v>600</v>
      </c>
      <c r="K102" s="49"/>
      <c r="L102" s="49"/>
      <c r="M102" s="225"/>
      <c r="N102" s="49"/>
      <c r="O102" s="355"/>
      <c r="P102" s="353"/>
      <c r="Q102" s="363"/>
      <c r="R102" s="350" t="e">
        <f t="shared" si="4"/>
        <v>#DIV/0!</v>
      </c>
    </row>
    <row r="103" spans="1:18" s="50" customFormat="1" ht="84.65" hidden="1" customHeight="1" x14ac:dyDescent="0.35">
      <c r="A103" s="44"/>
      <c r="B103" s="171"/>
      <c r="C103" s="171"/>
      <c r="D103" s="171"/>
      <c r="E103" s="171"/>
      <c r="F103" s="234"/>
      <c r="G103" s="63" t="s">
        <v>434</v>
      </c>
      <c r="H103" s="51"/>
      <c r="I103" s="64" t="s">
        <v>325</v>
      </c>
      <c r="J103" s="48"/>
      <c r="K103" s="49">
        <f>K104+K106</f>
        <v>2051749</v>
      </c>
      <c r="L103" s="49"/>
      <c r="M103" s="225"/>
      <c r="N103" s="49">
        <f>N104+N106</f>
        <v>394348</v>
      </c>
      <c r="O103" s="355">
        <f>O104+O106</f>
        <v>0</v>
      </c>
      <c r="P103" s="353"/>
      <c r="Q103" s="363"/>
      <c r="R103" s="350" t="e">
        <f t="shared" si="4"/>
        <v>#DIV/0!</v>
      </c>
    </row>
    <row r="104" spans="1:18" s="50" customFormat="1" ht="53.15" hidden="1" customHeight="1" x14ac:dyDescent="0.35">
      <c r="A104" s="44"/>
      <c r="B104" s="171"/>
      <c r="C104" s="171"/>
      <c r="D104" s="171"/>
      <c r="E104" s="171"/>
      <c r="F104" s="234"/>
      <c r="G104" s="51" t="s">
        <v>435</v>
      </c>
      <c r="H104" s="51"/>
      <c r="I104" s="160" t="s">
        <v>436</v>
      </c>
      <c r="J104" s="48"/>
      <c r="K104" s="49">
        <f>K105</f>
        <v>46742</v>
      </c>
      <c r="L104" s="49"/>
      <c r="M104" s="225"/>
      <c r="N104" s="49">
        <f>N105</f>
        <v>394348</v>
      </c>
      <c r="O104" s="355">
        <f>O105</f>
        <v>0</v>
      </c>
      <c r="P104" s="353"/>
      <c r="Q104" s="363"/>
      <c r="R104" s="350" t="e">
        <f t="shared" si="4"/>
        <v>#DIV/0!</v>
      </c>
    </row>
    <row r="105" spans="1:18" s="50" customFormat="1" ht="49" hidden="1" customHeight="1" x14ac:dyDescent="0.35">
      <c r="A105" s="44"/>
      <c r="B105" s="171"/>
      <c r="C105" s="171"/>
      <c r="D105" s="171"/>
      <c r="E105" s="171"/>
      <c r="F105" s="234"/>
      <c r="G105" s="51" t="s">
        <v>4</v>
      </c>
      <c r="H105" s="51"/>
      <c r="I105" s="52"/>
      <c r="J105" s="48">
        <v>600</v>
      </c>
      <c r="K105" s="49">
        <v>46742</v>
      </c>
      <c r="L105" s="49"/>
      <c r="M105" s="225"/>
      <c r="N105" s="49">
        <v>394348</v>
      </c>
      <c r="O105" s="353"/>
      <c r="P105" s="353"/>
      <c r="Q105" s="363"/>
      <c r="R105" s="350" t="e">
        <f t="shared" si="4"/>
        <v>#DIV/0!</v>
      </c>
    </row>
    <row r="106" spans="1:18" s="50" customFormat="1" ht="69" hidden="1" customHeight="1" x14ac:dyDescent="0.35">
      <c r="A106" s="44"/>
      <c r="B106" s="171"/>
      <c r="C106" s="171"/>
      <c r="D106" s="171"/>
      <c r="E106" s="171"/>
      <c r="F106" s="234"/>
      <c r="G106" s="51" t="s">
        <v>540</v>
      </c>
      <c r="H106" s="51"/>
      <c r="I106" s="160" t="s">
        <v>539</v>
      </c>
      <c r="J106" s="48"/>
      <c r="K106" s="49">
        <f>K107</f>
        <v>2005007</v>
      </c>
      <c r="L106" s="49"/>
      <c r="M106" s="225"/>
      <c r="N106" s="49">
        <f>N107</f>
        <v>0</v>
      </c>
      <c r="O106" s="355">
        <f>O107</f>
        <v>0</v>
      </c>
      <c r="P106" s="353"/>
      <c r="Q106" s="363"/>
      <c r="R106" s="350" t="e">
        <f t="shared" si="4"/>
        <v>#DIV/0!</v>
      </c>
    </row>
    <row r="107" spans="1:18" s="50" customFormat="1" ht="51" hidden="1" customHeight="1" x14ac:dyDescent="0.35">
      <c r="A107" s="44"/>
      <c r="B107" s="171"/>
      <c r="C107" s="171"/>
      <c r="D107" s="171"/>
      <c r="E107" s="171"/>
      <c r="F107" s="234"/>
      <c r="G107" s="51" t="s">
        <v>4</v>
      </c>
      <c r="H107" s="51"/>
      <c r="I107" s="52"/>
      <c r="J107" s="48">
        <v>600</v>
      </c>
      <c r="K107" s="49">
        <v>2005007</v>
      </c>
      <c r="L107" s="49"/>
      <c r="M107" s="225"/>
      <c r="N107" s="49"/>
      <c r="O107" s="355"/>
      <c r="P107" s="353"/>
      <c r="Q107" s="363"/>
      <c r="R107" s="350" t="e">
        <f t="shared" si="4"/>
        <v>#DIV/0!</v>
      </c>
    </row>
    <row r="108" spans="1:18" s="50" customFormat="1" ht="51" hidden="1" customHeight="1" x14ac:dyDescent="0.35">
      <c r="A108" s="44"/>
      <c r="B108" s="171"/>
      <c r="C108" s="171"/>
      <c r="D108" s="171"/>
      <c r="E108" s="171"/>
      <c r="F108" s="270"/>
      <c r="G108" s="115" t="s">
        <v>566</v>
      </c>
      <c r="H108" s="51"/>
      <c r="I108" s="60" t="s">
        <v>245</v>
      </c>
      <c r="J108" s="48"/>
      <c r="K108" s="49"/>
      <c r="L108" s="49"/>
      <c r="M108" s="225"/>
      <c r="N108" s="49"/>
      <c r="O108" s="355">
        <f>O109</f>
        <v>0</v>
      </c>
      <c r="P108" s="353"/>
      <c r="Q108" s="363"/>
      <c r="R108" s="350" t="e">
        <f t="shared" si="4"/>
        <v>#DIV/0!</v>
      </c>
    </row>
    <row r="109" spans="1:18" s="50" customFormat="1" ht="51" hidden="1" customHeight="1" x14ac:dyDescent="0.35">
      <c r="A109" s="44"/>
      <c r="B109" s="171"/>
      <c r="C109" s="171"/>
      <c r="D109" s="171"/>
      <c r="E109" s="171"/>
      <c r="F109" s="270"/>
      <c r="G109" s="63" t="s">
        <v>545</v>
      </c>
      <c r="H109" s="51"/>
      <c r="I109" s="64" t="s">
        <v>246</v>
      </c>
      <c r="J109" s="48"/>
      <c r="K109" s="49"/>
      <c r="L109" s="49"/>
      <c r="M109" s="225"/>
      <c r="N109" s="49"/>
      <c r="O109" s="355">
        <f>O110</f>
        <v>0</v>
      </c>
      <c r="P109" s="353"/>
      <c r="Q109" s="363"/>
      <c r="R109" s="350" t="e">
        <f t="shared" si="4"/>
        <v>#DIV/0!</v>
      </c>
    </row>
    <row r="110" spans="1:18" s="50" customFormat="1" ht="51" hidden="1" customHeight="1" x14ac:dyDescent="0.35">
      <c r="A110" s="44"/>
      <c r="B110" s="171"/>
      <c r="C110" s="171"/>
      <c r="D110" s="171"/>
      <c r="E110" s="171"/>
      <c r="F110" s="270"/>
      <c r="G110" s="51" t="s">
        <v>546</v>
      </c>
      <c r="H110" s="51"/>
      <c r="I110" s="52" t="s">
        <v>548</v>
      </c>
      <c r="J110" s="48"/>
      <c r="K110" s="49"/>
      <c r="L110" s="49"/>
      <c r="M110" s="225"/>
      <c r="N110" s="49"/>
      <c r="O110" s="355">
        <f>O111</f>
        <v>0</v>
      </c>
      <c r="P110" s="353"/>
      <c r="Q110" s="363"/>
      <c r="R110" s="350" t="e">
        <f t="shared" si="4"/>
        <v>#DIV/0!</v>
      </c>
    </row>
    <row r="111" spans="1:18" s="50" customFormat="1" ht="51" hidden="1" customHeight="1" x14ac:dyDescent="0.35">
      <c r="A111" s="44"/>
      <c r="B111" s="171"/>
      <c r="C111" s="171"/>
      <c r="D111" s="171"/>
      <c r="E111" s="171"/>
      <c r="F111" s="270"/>
      <c r="G111" s="51" t="s">
        <v>10</v>
      </c>
      <c r="H111" s="51"/>
      <c r="I111" s="52"/>
      <c r="J111" s="48">
        <v>400</v>
      </c>
      <c r="K111" s="49"/>
      <c r="L111" s="49"/>
      <c r="M111" s="225"/>
      <c r="N111" s="49"/>
      <c r="O111" s="355"/>
      <c r="P111" s="353"/>
      <c r="Q111" s="363"/>
      <c r="R111" s="350" t="e">
        <f t="shared" si="4"/>
        <v>#DIV/0!</v>
      </c>
    </row>
    <row r="112" spans="1:18" s="50" customFormat="1" ht="51" hidden="1" customHeight="1" x14ac:dyDescent="0.35">
      <c r="A112" s="44"/>
      <c r="B112" s="171"/>
      <c r="C112" s="171"/>
      <c r="D112" s="171"/>
      <c r="E112" s="171"/>
      <c r="F112" s="280"/>
      <c r="G112" s="14" t="s">
        <v>603</v>
      </c>
      <c r="H112" s="51"/>
      <c r="I112" s="256" t="s">
        <v>601</v>
      </c>
      <c r="J112" s="48"/>
      <c r="K112" s="49"/>
      <c r="L112" s="49"/>
      <c r="M112" s="225"/>
      <c r="N112" s="49"/>
      <c r="O112" s="355">
        <f>O113</f>
        <v>0</v>
      </c>
      <c r="P112" s="353"/>
      <c r="Q112" s="363"/>
      <c r="R112" s="350" t="e">
        <f t="shared" si="4"/>
        <v>#DIV/0!</v>
      </c>
    </row>
    <row r="113" spans="1:18" s="50" customFormat="1" ht="51" hidden="1" customHeight="1" x14ac:dyDescent="0.35">
      <c r="A113" s="44"/>
      <c r="B113" s="171"/>
      <c r="C113" s="171"/>
      <c r="D113" s="171"/>
      <c r="E113" s="171"/>
      <c r="F113" s="280"/>
      <c r="G113" s="14" t="s">
        <v>604</v>
      </c>
      <c r="H113" s="51"/>
      <c r="I113" s="160" t="s">
        <v>600</v>
      </c>
      <c r="J113" s="48"/>
      <c r="K113" s="49"/>
      <c r="L113" s="49"/>
      <c r="M113" s="225"/>
      <c r="N113" s="49"/>
      <c r="O113" s="355">
        <f>O114</f>
        <v>0</v>
      </c>
      <c r="P113" s="353"/>
      <c r="Q113" s="363"/>
      <c r="R113" s="350" t="e">
        <f t="shared" si="4"/>
        <v>#DIV/0!</v>
      </c>
    </row>
    <row r="114" spans="1:18" s="50" customFormat="1" ht="51" hidden="1" customHeight="1" x14ac:dyDescent="0.35">
      <c r="A114" s="44"/>
      <c r="B114" s="171"/>
      <c r="C114" s="171"/>
      <c r="D114" s="171"/>
      <c r="E114" s="171"/>
      <c r="F114" s="280"/>
      <c r="G114" s="51" t="s">
        <v>4</v>
      </c>
      <c r="H114" s="51"/>
      <c r="I114" s="52"/>
      <c r="J114" s="48">
        <v>600</v>
      </c>
      <c r="K114" s="49"/>
      <c r="L114" s="49"/>
      <c r="M114" s="225"/>
      <c r="N114" s="49"/>
      <c r="O114" s="353"/>
      <c r="P114" s="353"/>
      <c r="Q114" s="353"/>
      <c r="R114" s="350" t="e">
        <f t="shared" si="4"/>
        <v>#DIV/0!</v>
      </c>
    </row>
    <row r="115" spans="1:18" s="50" customFormat="1" ht="39" customHeight="1" x14ac:dyDescent="0.35">
      <c r="A115" s="44"/>
      <c r="B115" s="152"/>
      <c r="C115" s="152"/>
      <c r="D115" s="152"/>
      <c r="E115" s="152"/>
      <c r="F115" s="153"/>
      <c r="G115" s="2" t="s">
        <v>636</v>
      </c>
      <c r="H115" s="51"/>
      <c r="I115" s="60" t="s">
        <v>406</v>
      </c>
      <c r="J115" s="48"/>
      <c r="K115" s="121">
        <f>K116</f>
        <v>429518</v>
      </c>
      <c r="L115" s="121">
        <f>L116</f>
        <v>0</v>
      </c>
      <c r="M115" s="226">
        <f>M116</f>
        <v>201000</v>
      </c>
      <c r="N115" s="121">
        <f>N116</f>
        <v>0</v>
      </c>
      <c r="O115" s="354">
        <f>O116</f>
        <v>472177</v>
      </c>
      <c r="P115" s="353"/>
      <c r="Q115" s="353">
        <f>Q116</f>
        <v>471950.18000000005</v>
      </c>
      <c r="R115" s="350">
        <f t="shared" si="4"/>
        <v>99.951962929155812</v>
      </c>
    </row>
    <row r="116" spans="1:18" s="50" customFormat="1" ht="66.75" customHeight="1" x14ac:dyDescent="0.35">
      <c r="A116" s="44"/>
      <c r="B116" s="152"/>
      <c r="C116" s="152"/>
      <c r="D116" s="152"/>
      <c r="E116" s="152"/>
      <c r="F116" s="153"/>
      <c r="G116" s="2" t="s">
        <v>637</v>
      </c>
      <c r="H116" s="51"/>
      <c r="I116" s="47" t="s">
        <v>407</v>
      </c>
      <c r="J116" s="48"/>
      <c r="K116" s="49">
        <f>K117+K126+K129</f>
        <v>429518</v>
      </c>
      <c r="L116" s="49">
        <f>L117+L121</f>
        <v>0</v>
      </c>
      <c r="M116" s="225">
        <f>M117+M121</f>
        <v>201000</v>
      </c>
      <c r="N116" s="49">
        <f>N117+N126+N129</f>
        <v>0</v>
      </c>
      <c r="O116" s="355">
        <f>O117+O126+O135</f>
        <v>472177</v>
      </c>
      <c r="P116" s="353"/>
      <c r="Q116" s="353">
        <f>Q117+Q126+Q135</f>
        <v>471950.18000000005</v>
      </c>
      <c r="R116" s="350">
        <f t="shared" si="4"/>
        <v>99.951962929155812</v>
      </c>
    </row>
    <row r="117" spans="1:18" s="50" customFormat="1" ht="51.75" customHeight="1" x14ac:dyDescent="0.35">
      <c r="A117" s="44"/>
      <c r="B117" s="152"/>
      <c r="C117" s="152"/>
      <c r="D117" s="152"/>
      <c r="E117" s="152"/>
      <c r="F117" s="153"/>
      <c r="G117" s="63" t="s">
        <v>251</v>
      </c>
      <c r="H117" s="51"/>
      <c r="I117" s="64" t="s">
        <v>408</v>
      </c>
      <c r="J117" s="48"/>
      <c r="K117" s="49">
        <f>K118</f>
        <v>201000</v>
      </c>
      <c r="L117" s="49">
        <f>L118</f>
        <v>0</v>
      </c>
      <c r="M117" s="225">
        <f>M118</f>
        <v>201000</v>
      </c>
      <c r="N117" s="49">
        <f>N118</f>
        <v>0</v>
      </c>
      <c r="O117" s="355">
        <f>O118</f>
        <v>201000</v>
      </c>
      <c r="P117" s="353"/>
      <c r="Q117" s="353">
        <f>Q118</f>
        <v>200863.22</v>
      </c>
      <c r="R117" s="350">
        <f t="shared" si="4"/>
        <v>99.931950248756223</v>
      </c>
    </row>
    <row r="118" spans="1:18" s="50" customFormat="1" ht="64.5" customHeight="1" x14ac:dyDescent="0.35">
      <c r="A118" s="44"/>
      <c r="B118" s="152"/>
      <c r="C118" s="152"/>
      <c r="D118" s="152"/>
      <c r="E118" s="152"/>
      <c r="F118" s="153"/>
      <c r="G118" s="14" t="s">
        <v>638</v>
      </c>
      <c r="H118" s="51"/>
      <c r="I118" s="47" t="s">
        <v>409</v>
      </c>
      <c r="J118" s="48"/>
      <c r="K118" s="49">
        <f>K119+K120</f>
        <v>201000</v>
      </c>
      <c r="L118" s="49">
        <f>L119+L120</f>
        <v>0</v>
      </c>
      <c r="M118" s="225">
        <f>M119+M120</f>
        <v>201000</v>
      </c>
      <c r="N118" s="49">
        <f>N119+N120</f>
        <v>0</v>
      </c>
      <c r="O118" s="355">
        <f>O119+O120</f>
        <v>201000</v>
      </c>
      <c r="P118" s="353"/>
      <c r="Q118" s="353">
        <f>Q119+Q120</f>
        <v>200863.22</v>
      </c>
      <c r="R118" s="350">
        <f t="shared" si="4"/>
        <v>99.931950248756223</v>
      </c>
    </row>
    <row r="119" spans="1:18" s="50" customFormat="1" ht="33" customHeight="1" x14ac:dyDescent="0.35">
      <c r="A119" s="44"/>
      <c r="B119" s="169"/>
      <c r="C119" s="169"/>
      <c r="D119" s="169"/>
      <c r="E119" s="169"/>
      <c r="F119" s="170"/>
      <c r="G119" s="51" t="s">
        <v>2</v>
      </c>
      <c r="H119" s="51"/>
      <c r="I119" s="47"/>
      <c r="J119" s="48">
        <v>200</v>
      </c>
      <c r="K119" s="49">
        <v>91000</v>
      </c>
      <c r="L119" s="49"/>
      <c r="M119" s="225">
        <f>K119+L119</f>
        <v>91000</v>
      </c>
      <c r="N119" s="49"/>
      <c r="O119" s="356">
        <v>91000</v>
      </c>
      <c r="P119" s="353"/>
      <c r="Q119" s="353">
        <v>90959.82</v>
      </c>
      <c r="R119" s="350">
        <f t="shared" si="4"/>
        <v>99.955846153846167</v>
      </c>
    </row>
    <row r="120" spans="1:18" s="50" customFormat="1" ht="35.5" customHeight="1" x14ac:dyDescent="0.35">
      <c r="A120" s="44"/>
      <c r="B120" s="152"/>
      <c r="C120" s="152"/>
      <c r="D120" s="152"/>
      <c r="E120" s="152"/>
      <c r="F120" s="153"/>
      <c r="G120" s="51" t="s">
        <v>4</v>
      </c>
      <c r="H120" s="51"/>
      <c r="I120" s="52"/>
      <c r="J120" s="48">
        <v>600</v>
      </c>
      <c r="K120" s="49">
        <v>110000</v>
      </c>
      <c r="L120" s="49">
        <v>0</v>
      </c>
      <c r="M120" s="225">
        <f>K120+L120</f>
        <v>110000</v>
      </c>
      <c r="N120" s="49"/>
      <c r="O120" s="355">
        <v>110000</v>
      </c>
      <c r="P120" s="353"/>
      <c r="Q120" s="353">
        <v>109903.4</v>
      </c>
      <c r="R120" s="350">
        <f t="shared" si="4"/>
        <v>99.912181818181807</v>
      </c>
    </row>
    <row r="121" spans="1:18" s="50" customFormat="1" ht="35.15" hidden="1" customHeight="1" x14ac:dyDescent="0.35">
      <c r="A121" s="44"/>
      <c r="B121" s="171"/>
      <c r="C121" s="171"/>
      <c r="D121" s="171"/>
      <c r="E121" s="171"/>
      <c r="F121" s="185"/>
      <c r="G121" s="63" t="s">
        <v>454</v>
      </c>
      <c r="H121" s="51"/>
      <c r="I121" s="117" t="s">
        <v>457</v>
      </c>
      <c r="J121" s="48"/>
      <c r="K121" s="49">
        <f>K122+K124</f>
        <v>0</v>
      </c>
      <c r="L121" s="49">
        <f>L122+L124</f>
        <v>0</v>
      </c>
      <c r="M121" s="225">
        <f>M122+M124</f>
        <v>0</v>
      </c>
      <c r="N121" s="49"/>
      <c r="O121" s="355"/>
      <c r="P121" s="353"/>
      <c r="Q121" s="353"/>
      <c r="R121" s="350" t="e">
        <f t="shared" si="4"/>
        <v>#DIV/0!</v>
      </c>
    </row>
    <row r="122" spans="1:18" s="50" customFormat="1" ht="50.5" hidden="1" customHeight="1" x14ac:dyDescent="0.35">
      <c r="A122" s="44"/>
      <c r="B122" s="171"/>
      <c r="C122" s="171"/>
      <c r="D122" s="171"/>
      <c r="E122" s="171"/>
      <c r="F122" s="185"/>
      <c r="G122" s="51" t="s">
        <v>455</v>
      </c>
      <c r="H122" s="51"/>
      <c r="I122" s="52" t="s">
        <v>456</v>
      </c>
      <c r="J122" s="48"/>
      <c r="K122" s="49">
        <f>K123</f>
        <v>0</v>
      </c>
      <c r="L122" s="49">
        <f>L123</f>
        <v>0</v>
      </c>
      <c r="M122" s="225">
        <f>M123</f>
        <v>0</v>
      </c>
      <c r="N122" s="49"/>
      <c r="O122" s="355"/>
      <c r="P122" s="353"/>
      <c r="Q122" s="353"/>
      <c r="R122" s="350" t="e">
        <f t="shared" si="4"/>
        <v>#DIV/0!</v>
      </c>
    </row>
    <row r="123" spans="1:18" s="50" customFormat="1" ht="35.15" hidden="1" customHeight="1" x14ac:dyDescent="0.35">
      <c r="A123" s="44"/>
      <c r="B123" s="171"/>
      <c r="C123" s="171"/>
      <c r="D123" s="171"/>
      <c r="E123" s="171"/>
      <c r="F123" s="185"/>
      <c r="G123" s="51" t="s">
        <v>4</v>
      </c>
      <c r="H123" s="51"/>
      <c r="I123" s="52"/>
      <c r="J123" s="48">
        <v>600</v>
      </c>
      <c r="K123" s="49"/>
      <c r="L123" s="49">
        <v>0</v>
      </c>
      <c r="M123" s="225">
        <f>K123+L123</f>
        <v>0</v>
      </c>
      <c r="N123" s="49"/>
      <c r="O123" s="355"/>
      <c r="P123" s="353"/>
      <c r="Q123" s="353"/>
      <c r="R123" s="350" t="e">
        <f t="shared" si="4"/>
        <v>#DIV/0!</v>
      </c>
    </row>
    <row r="124" spans="1:18" s="50" customFormat="1" ht="50.15" hidden="1" customHeight="1" x14ac:dyDescent="0.35">
      <c r="A124" s="44"/>
      <c r="B124" s="171"/>
      <c r="C124" s="171"/>
      <c r="D124" s="171"/>
      <c r="E124" s="171"/>
      <c r="F124" s="186"/>
      <c r="G124" s="51" t="s">
        <v>464</v>
      </c>
      <c r="H124" s="51"/>
      <c r="I124" s="52" t="s">
        <v>465</v>
      </c>
      <c r="J124" s="48"/>
      <c r="K124" s="49">
        <f>K125</f>
        <v>0</v>
      </c>
      <c r="L124" s="49">
        <f>L125</f>
        <v>0</v>
      </c>
      <c r="M124" s="225">
        <f>M125</f>
        <v>0</v>
      </c>
      <c r="N124" s="49"/>
      <c r="O124" s="355"/>
      <c r="P124" s="353"/>
      <c r="Q124" s="353"/>
      <c r="R124" s="350" t="e">
        <f t="shared" si="4"/>
        <v>#DIV/0!</v>
      </c>
    </row>
    <row r="125" spans="1:18" s="50" customFormat="1" ht="35.15" hidden="1" customHeight="1" x14ac:dyDescent="0.35">
      <c r="A125" s="44"/>
      <c r="B125" s="171"/>
      <c r="C125" s="171"/>
      <c r="D125" s="171"/>
      <c r="E125" s="171"/>
      <c r="F125" s="186"/>
      <c r="G125" s="51" t="s">
        <v>4</v>
      </c>
      <c r="H125" s="51"/>
      <c r="I125" s="52"/>
      <c r="J125" s="48">
        <v>600</v>
      </c>
      <c r="K125" s="49"/>
      <c r="L125" s="49"/>
      <c r="M125" s="225">
        <f>K125+L125</f>
        <v>0</v>
      </c>
      <c r="N125" s="49"/>
      <c r="O125" s="355"/>
      <c r="P125" s="353"/>
      <c r="Q125" s="353"/>
      <c r="R125" s="350" t="e">
        <f t="shared" si="4"/>
        <v>#DIV/0!</v>
      </c>
    </row>
    <row r="126" spans="1:18" s="50" customFormat="1" ht="35.15" hidden="1" customHeight="1" x14ac:dyDescent="0.35">
      <c r="A126" s="44"/>
      <c r="B126" s="171"/>
      <c r="C126" s="171"/>
      <c r="D126" s="171"/>
      <c r="E126" s="171"/>
      <c r="F126" s="201"/>
      <c r="G126" s="63" t="s">
        <v>454</v>
      </c>
      <c r="H126" s="51"/>
      <c r="I126" s="64" t="s">
        <v>457</v>
      </c>
      <c r="J126" s="48"/>
      <c r="K126" s="49">
        <f>K127</f>
        <v>0</v>
      </c>
      <c r="L126" s="49"/>
      <c r="M126" s="225"/>
      <c r="N126" s="49"/>
      <c r="O126" s="355"/>
      <c r="P126" s="353"/>
      <c r="Q126" s="353"/>
      <c r="R126" s="350" t="e">
        <f t="shared" si="4"/>
        <v>#DIV/0!</v>
      </c>
    </row>
    <row r="127" spans="1:18" s="50" customFormat="1" ht="48.65" hidden="1" customHeight="1" x14ac:dyDescent="0.35">
      <c r="A127" s="44"/>
      <c r="B127" s="171"/>
      <c r="C127" s="171"/>
      <c r="D127" s="171"/>
      <c r="E127" s="171"/>
      <c r="F127" s="201"/>
      <c r="G127" s="51" t="s">
        <v>464</v>
      </c>
      <c r="H127" s="51"/>
      <c r="I127" s="47" t="s">
        <v>498</v>
      </c>
      <c r="J127" s="48"/>
      <c r="K127" s="49">
        <f>K128</f>
        <v>0</v>
      </c>
      <c r="L127" s="49"/>
      <c r="M127" s="225"/>
      <c r="N127" s="49"/>
      <c r="O127" s="355"/>
      <c r="P127" s="353"/>
      <c r="Q127" s="353"/>
      <c r="R127" s="350" t="e">
        <f t="shared" si="4"/>
        <v>#DIV/0!</v>
      </c>
    </row>
    <row r="128" spans="1:18" s="50" customFormat="1" ht="35.15" hidden="1" customHeight="1" x14ac:dyDescent="0.35">
      <c r="A128" s="44"/>
      <c r="B128" s="171"/>
      <c r="C128" s="171"/>
      <c r="D128" s="171"/>
      <c r="E128" s="171"/>
      <c r="F128" s="201"/>
      <c r="G128" s="51" t="s">
        <v>4</v>
      </c>
      <c r="H128" s="51"/>
      <c r="I128" s="52"/>
      <c r="J128" s="48">
        <v>600</v>
      </c>
      <c r="K128" s="49"/>
      <c r="L128" s="49"/>
      <c r="M128" s="225"/>
      <c r="N128" s="49"/>
      <c r="O128" s="355"/>
      <c r="P128" s="353"/>
      <c r="Q128" s="353"/>
      <c r="R128" s="350" t="e">
        <f t="shared" si="4"/>
        <v>#DIV/0!</v>
      </c>
    </row>
    <row r="129" spans="1:18" s="50" customFormat="1" ht="50.15" hidden="1" customHeight="1" x14ac:dyDescent="0.35">
      <c r="A129" s="44"/>
      <c r="B129" s="171"/>
      <c r="C129" s="171"/>
      <c r="D129" s="171"/>
      <c r="E129" s="171"/>
      <c r="F129" s="217"/>
      <c r="G129" s="63" t="s">
        <v>454</v>
      </c>
      <c r="H129" s="51"/>
      <c r="I129" s="64" t="s">
        <v>457</v>
      </c>
      <c r="J129" s="48"/>
      <c r="K129" s="49">
        <f>K130+K132</f>
        <v>228518</v>
      </c>
      <c r="L129" s="49"/>
      <c r="M129" s="225"/>
      <c r="N129" s="49">
        <f>N130+N132</f>
        <v>0</v>
      </c>
      <c r="O129" s="355">
        <f>O130+O132</f>
        <v>0</v>
      </c>
      <c r="P129" s="353"/>
      <c r="Q129" s="353"/>
      <c r="R129" s="350" t="e">
        <f t="shared" si="4"/>
        <v>#DIV/0!</v>
      </c>
    </row>
    <row r="130" spans="1:18" s="50" customFormat="1" ht="62.5" hidden="1" customHeight="1" x14ac:dyDescent="0.35">
      <c r="A130" s="44"/>
      <c r="B130" s="171"/>
      <c r="C130" s="171"/>
      <c r="D130" s="171"/>
      <c r="E130" s="171"/>
      <c r="F130" s="217"/>
      <c r="G130" s="51" t="s">
        <v>464</v>
      </c>
      <c r="H130" s="51"/>
      <c r="I130" s="47" t="s">
        <v>498</v>
      </c>
      <c r="J130" s="48"/>
      <c r="K130" s="49">
        <f>K131</f>
        <v>216518</v>
      </c>
      <c r="L130" s="49"/>
      <c r="M130" s="225"/>
      <c r="N130" s="49">
        <f>N131</f>
        <v>0</v>
      </c>
      <c r="O130" s="355">
        <f>O131</f>
        <v>0</v>
      </c>
      <c r="P130" s="353"/>
      <c r="Q130" s="353"/>
      <c r="R130" s="350" t="e">
        <f t="shared" si="4"/>
        <v>#DIV/0!</v>
      </c>
    </row>
    <row r="131" spans="1:18" s="50" customFormat="1" ht="54" hidden="1" customHeight="1" x14ac:dyDescent="0.35">
      <c r="A131" s="44"/>
      <c r="B131" s="171"/>
      <c r="C131" s="171"/>
      <c r="D131" s="171"/>
      <c r="E131" s="171"/>
      <c r="F131" s="217"/>
      <c r="G131" s="51" t="s">
        <v>4</v>
      </c>
      <c r="H131" s="51"/>
      <c r="I131" s="52"/>
      <c r="J131" s="48">
        <v>600</v>
      </c>
      <c r="K131" s="49">
        <v>216518</v>
      </c>
      <c r="L131" s="49"/>
      <c r="M131" s="225"/>
      <c r="N131" s="49">
        <v>0</v>
      </c>
      <c r="O131" s="355"/>
      <c r="P131" s="353"/>
      <c r="Q131" s="353"/>
      <c r="R131" s="350" t="e">
        <f t="shared" si="4"/>
        <v>#DIV/0!</v>
      </c>
    </row>
    <row r="132" spans="1:18" s="50" customFormat="1" ht="68.5" hidden="1" customHeight="1" x14ac:dyDescent="0.35">
      <c r="A132" s="44"/>
      <c r="B132" s="171"/>
      <c r="C132" s="171"/>
      <c r="D132" s="171"/>
      <c r="E132" s="171"/>
      <c r="F132" s="217"/>
      <c r="G132" s="51" t="s">
        <v>529</v>
      </c>
      <c r="H132" s="51"/>
      <c r="I132" s="52" t="s">
        <v>528</v>
      </c>
      <c r="J132" s="48"/>
      <c r="K132" s="49">
        <f>K133</f>
        <v>12000</v>
      </c>
      <c r="L132" s="49"/>
      <c r="M132" s="225"/>
      <c r="N132" s="49">
        <f>N133</f>
        <v>0</v>
      </c>
      <c r="O132" s="355">
        <f>O133</f>
        <v>0</v>
      </c>
      <c r="P132" s="353"/>
      <c r="Q132" s="353"/>
      <c r="R132" s="350" t="e">
        <f t="shared" si="4"/>
        <v>#DIV/0!</v>
      </c>
    </row>
    <row r="133" spans="1:18" s="50" customFormat="1" ht="52.5" hidden="1" customHeight="1" x14ac:dyDescent="0.35">
      <c r="A133" s="44"/>
      <c r="B133" s="171"/>
      <c r="C133" s="171"/>
      <c r="D133" s="171"/>
      <c r="E133" s="171"/>
      <c r="F133" s="217"/>
      <c r="G133" s="51" t="s">
        <v>4</v>
      </c>
      <c r="H133" s="51"/>
      <c r="I133" s="52"/>
      <c r="J133" s="48">
        <v>600</v>
      </c>
      <c r="K133" s="49">
        <v>12000</v>
      </c>
      <c r="L133" s="49"/>
      <c r="M133" s="225"/>
      <c r="N133" s="49"/>
      <c r="O133" s="355"/>
      <c r="P133" s="353"/>
      <c r="Q133" s="353"/>
      <c r="R133" s="350" t="e">
        <f t="shared" si="4"/>
        <v>#DIV/0!</v>
      </c>
    </row>
    <row r="134" spans="1:18" s="50" customFormat="1" ht="21.65" hidden="1" customHeight="1" x14ac:dyDescent="0.35">
      <c r="A134" s="44"/>
      <c r="B134" s="67"/>
      <c r="C134" s="67"/>
      <c r="D134" s="67"/>
      <c r="E134" s="67"/>
      <c r="F134" s="68"/>
      <c r="G134" s="115" t="s">
        <v>8</v>
      </c>
      <c r="H134" s="51"/>
      <c r="I134" s="119" t="s">
        <v>293</v>
      </c>
      <c r="J134" s="48"/>
      <c r="K134" s="121" t="e">
        <f>K144</f>
        <v>#REF!</v>
      </c>
      <c r="L134" s="49"/>
      <c r="M134" s="226" t="e">
        <f>M144</f>
        <v>#REF!</v>
      </c>
      <c r="N134" s="121" t="e">
        <f>N144</f>
        <v>#REF!</v>
      </c>
      <c r="O134" s="354">
        <f>O144</f>
        <v>1981000</v>
      </c>
      <c r="P134" s="353"/>
      <c r="Q134" s="353"/>
      <c r="R134" s="350">
        <f t="shared" si="4"/>
        <v>0</v>
      </c>
    </row>
    <row r="135" spans="1:18" s="50" customFormat="1" ht="51.5" customHeight="1" x14ac:dyDescent="0.35">
      <c r="A135" s="44"/>
      <c r="B135" s="171"/>
      <c r="C135" s="171"/>
      <c r="D135" s="171"/>
      <c r="E135" s="171"/>
      <c r="F135" s="265"/>
      <c r="G135" s="63" t="s">
        <v>454</v>
      </c>
      <c r="H135" s="51"/>
      <c r="I135" s="117" t="s">
        <v>457</v>
      </c>
      <c r="J135" s="48"/>
      <c r="K135" s="121"/>
      <c r="L135" s="49"/>
      <c r="M135" s="226"/>
      <c r="N135" s="121"/>
      <c r="O135" s="355">
        <f>O136+O138</f>
        <v>271177</v>
      </c>
      <c r="P135" s="353"/>
      <c r="Q135" s="353">
        <v>271086.96000000002</v>
      </c>
      <c r="R135" s="350">
        <f t="shared" si="4"/>
        <v>99.966796594106441</v>
      </c>
    </row>
    <row r="136" spans="1:18" s="50" customFormat="1" ht="49.5" customHeight="1" x14ac:dyDescent="0.35">
      <c r="A136" s="44"/>
      <c r="B136" s="171"/>
      <c r="C136" s="171"/>
      <c r="D136" s="171"/>
      <c r="E136" s="171"/>
      <c r="F136" s="265"/>
      <c r="G136" s="51" t="s">
        <v>464</v>
      </c>
      <c r="H136" s="51"/>
      <c r="I136" s="47" t="s">
        <v>498</v>
      </c>
      <c r="J136" s="48"/>
      <c r="K136" s="121"/>
      <c r="L136" s="49"/>
      <c r="M136" s="226"/>
      <c r="N136" s="121"/>
      <c r="O136" s="355">
        <f>O137</f>
        <v>241077</v>
      </c>
      <c r="P136" s="353"/>
      <c r="Q136" s="353">
        <v>241077</v>
      </c>
      <c r="R136" s="350">
        <f t="shared" si="4"/>
        <v>100</v>
      </c>
    </row>
    <row r="137" spans="1:18" s="50" customFormat="1" ht="46.5" x14ac:dyDescent="0.35">
      <c r="A137" s="44"/>
      <c r="B137" s="171"/>
      <c r="C137" s="171"/>
      <c r="D137" s="171"/>
      <c r="E137" s="171"/>
      <c r="F137" s="265"/>
      <c r="G137" s="51" t="s">
        <v>4</v>
      </c>
      <c r="H137" s="51"/>
      <c r="I137" s="119"/>
      <c r="J137" s="48">
        <v>600</v>
      </c>
      <c r="K137" s="121"/>
      <c r="L137" s="49"/>
      <c r="M137" s="226"/>
      <c r="N137" s="121"/>
      <c r="O137" s="355">
        <v>241077</v>
      </c>
      <c r="P137" s="353"/>
      <c r="Q137" s="353">
        <v>241077</v>
      </c>
      <c r="R137" s="350">
        <f t="shared" si="4"/>
        <v>100</v>
      </c>
    </row>
    <row r="138" spans="1:18" s="50" customFormat="1" ht="62" x14ac:dyDescent="0.35">
      <c r="A138" s="44"/>
      <c r="B138" s="171"/>
      <c r="C138" s="171"/>
      <c r="D138" s="171"/>
      <c r="E138" s="171"/>
      <c r="F138" s="265"/>
      <c r="G138" s="51" t="s">
        <v>529</v>
      </c>
      <c r="H138" s="51"/>
      <c r="I138" s="52" t="s">
        <v>528</v>
      </c>
      <c r="J138" s="48"/>
      <c r="K138" s="121"/>
      <c r="L138" s="49"/>
      <c r="M138" s="226"/>
      <c r="N138" s="121"/>
      <c r="O138" s="355">
        <f>O139</f>
        <v>30100</v>
      </c>
      <c r="P138" s="353"/>
      <c r="Q138" s="353">
        <v>30009.96</v>
      </c>
      <c r="R138" s="350">
        <f t="shared" si="4"/>
        <v>99.700863787375411</v>
      </c>
    </row>
    <row r="139" spans="1:18" s="50" customFormat="1" ht="46.5" x14ac:dyDescent="0.35">
      <c r="A139" s="44"/>
      <c r="B139" s="171"/>
      <c r="C139" s="171"/>
      <c r="D139" s="171"/>
      <c r="E139" s="171"/>
      <c r="F139" s="265"/>
      <c r="G139" s="51" t="s">
        <v>4</v>
      </c>
      <c r="H139" s="51"/>
      <c r="I139" s="119"/>
      <c r="J139" s="48">
        <v>600</v>
      </c>
      <c r="K139" s="121"/>
      <c r="L139" s="49"/>
      <c r="M139" s="226"/>
      <c r="N139" s="121"/>
      <c r="O139" s="353">
        <v>30100</v>
      </c>
      <c r="P139" s="353"/>
      <c r="Q139" s="353">
        <v>30009.96</v>
      </c>
      <c r="R139" s="350">
        <f t="shared" si="4"/>
        <v>99.700863787375411</v>
      </c>
    </row>
    <row r="140" spans="1:18" s="50" customFormat="1" x14ac:dyDescent="0.35">
      <c r="A140" s="44"/>
      <c r="B140" s="171"/>
      <c r="C140" s="171"/>
      <c r="D140" s="171"/>
      <c r="E140" s="171"/>
      <c r="F140" s="270"/>
      <c r="G140" s="115" t="s">
        <v>8</v>
      </c>
      <c r="H140" s="51"/>
      <c r="I140" s="119" t="s">
        <v>293</v>
      </c>
      <c r="J140" s="48"/>
      <c r="K140" s="121"/>
      <c r="L140" s="49"/>
      <c r="M140" s="226"/>
      <c r="N140" s="121"/>
      <c r="O140" s="354">
        <f>O144+O147+O141</f>
        <v>2360730</v>
      </c>
      <c r="P140" s="353"/>
      <c r="Q140" s="353">
        <f>Q144+Q147+Q141</f>
        <v>2300290.4299999997</v>
      </c>
      <c r="R140" s="350">
        <f t="shared" si="4"/>
        <v>97.439793199561137</v>
      </c>
    </row>
    <row r="141" spans="1:18" s="50" customFormat="1" ht="31" x14ac:dyDescent="0.35">
      <c r="A141" s="44"/>
      <c r="B141" s="171"/>
      <c r="C141" s="171"/>
      <c r="D141" s="171"/>
      <c r="E141" s="171"/>
      <c r="F141" s="339"/>
      <c r="G141" s="51" t="s">
        <v>622</v>
      </c>
      <c r="H141" s="51"/>
      <c r="I141" s="52" t="s">
        <v>723</v>
      </c>
      <c r="J141" s="48"/>
      <c r="K141" s="121"/>
      <c r="L141" s="49"/>
      <c r="M141" s="226"/>
      <c r="N141" s="121"/>
      <c r="O141" s="355">
        <f>O142+O143</f>
        <v>149730</v>
      </c>
      <c r="P141" s="353"/>
      <c r="Q141" s="353">
        <f>Q142+Q143</f>
        <v>149730</v>
      </c>
      <c r="R141" s="350">
        <f t="shared" si="4"/>
        <v>100</v>
      </c>
    </row>
    <row r="142" spans="1:18" s="50" customFormat="1" ht="77.5" x14ac:dyDescent="0.35">
      <c r="A142" s="44"/>
      <c r="B142" s="171"/>
      <c r="C142" s="171"/>
      <c r="D142" s="171"/>
      <c r="E142" s="171"/>
      <c r="F142" s="339"/>
      <c r="G142" s="51" t="s">
        <v>3</v>
      </c>
      <c r="H142" s="51"/>
      <c r="I142" s="119"/>
      <c r="J142" s="48">
        <v>100</v>
      </c>
      <c r="K142" s="121"/>
      <c r="L142" s="49"/>
      <c r="M142" s="226"/>
      <c r="N142" s="121"/>
      <c r="O142" s="355">
        <v>45570</v>
      </c>
      <c r="P142" s="353"/>
      <c r="Q142" s="353">
        <v>45570</v>
      </c>
      <c r="R142" s="350">
        <f t="shared" si="4"/>
        <v>100</v>
      </c>
    </row>
    <row r="143" spans="1:18" s="50" customFormat="1" ht="46.5" x14ac:dyDescent="0.35">
      <c r="A143" s="44"/>
      <c r="B143" s="171"/>
      <c r="C143" s="171"/>
      <c r="D143" s="171"/>
      <c r="E143" s="171"/>
      <c r="F143" s="339"/>
      <c r="G143" s="51" t="s">
        <v>4</v>
      </c>
      <c r="H143" s="51"/>
      <c r="I143" s="119"/>
      <c r="J143" s="48">
        <v>600</v>
      </c>
      <c r="K143" s="121"/>
      <c r="L143" s="49"/>
      <c r="M143" s="226"/>
      <c r="N143" s="121"/>
      <c r="O143" s="355">
        <v>104160</v>
      </c>
      <c r="P143" s="353"/>
      <c r="Q143" s="353">
        <v>104160</v>
      </c>
      <c r="R143" s="350">
        <f t="shared" si="4"/>
        <v>100</v>
      </c>
    </row>
    <row r="144" spans="1:18" s="50" customFormat="1" ht="31" x14ac:dyDescent="0.35">
      <c r="A144" s="44"/>
      <c r="B144" s="67"/>
      <c r="C144" s="67"/>
      <c r="D144" s="67"/>
      <c r="E144" s="67"/>
      <c r="F144" s="68"/>
      <c r="G144" s="51" t="s">
        <v>79</v>
      </c>
      <c r="H144" s="51"/>
      <c r="I144" s="52" t="s">
        <v>303</v>
      </c>
      <c r="J144" s="48"/>
      <c r="K144" s="49" t="e">
        <f>K145+K146+#REF!</f>
        <v>#REF!</v>
      </c>
      <c r="L144" s="49"/>
      <c r="M144" s="225" t="e">
        <f>M145+M146+#REF!</f>
        <v>#REF!</v>
      </c>
      <c r="N144" s="49" t="e">
        <f>N145+N146+#REF!</f>
        <v>#REF!</v>
      </c>
      <c r="O144" s="355">
        <f>O145+O146</f>
        <v>1981000</v>
      </c>
      <c r="P144" s="353"/>
      <c r="Q144" s="353">
        <v>1920560.43</v>
      </c>
      <c r="R144" s="350">
        <f t="shared" si="4"/>
        <v>96.949037354871265</v>
      </c>
    </row>
    <row r="145" spans="1:18" s="50" customFormat="1" ht="77.5" x14ac:dyDescent="0.35">
      <c r="A145" s="44"/>
      <c r="B145" s="67"/>
      <c r="C145" s="67"/>
      <c r="D145" s="67"/>
      <c r="E145" s="67"/>
      <c r="F145" s="68"/>
      <c r="G145" s="51" t="s">
        <v>3</v>
      </c>
      <c r="H145" s="51"/>
      <c r="I145" s="119"/>
      <c r="J145" s="48">
        <v>100</v>
      </c>
      <c r="K145" s="49">
        <v>1390100</v>
      </c>
      <c r="L145" s="49"/>
      <c r="M145" s="225">
        <v>1390100</v>
      </c>
      <c r="N145" s="49"/>
      <c r="O145" s="353">
        <v>1939000</v>
      </c>
      <c r="P145" s="353"/>
      <c r="Q145" s="353">
        <v>1892486.14</v>
      </c>
      <c r="R145" s="350">
        <f t="shared" ref="R145:R204" si="7">Q145/O145*100</f>
        <v>97.601141825683328</v>
      </c>
    </row>
    <row r="146" spans="1:18" s="50" customFormat="1" ht="31" x14ac:dyDescent="0.35">
      <c r="A146" s="44"/>
      <c r="B146" s="67"/>
      <c r="C146" s="67"/>
      <c r="D146" s="67"/>
      <c r="E146" s="67"/>
      <c r="F146" s="68"/>
      <c r="G146" s="51" t="s">
        <v>2</v>
      </c>
      <c r="H146" s="51"/>
      <c r="I146" s="119"/>
      <c r="J146" s="48">
        <v>200</v>
      </c>
      <c r="K146" s="49">
        <v>65900</v>
      </c>
      <c r="L146" s="49"/>
      <c r="M146" s="225">
        <v>64400</v>
      </c>
      <c r="N146" s="49"/>
      <c r="O146" s="353">
        <f>68000-26000</f>
        <v>42000</v>
      </c>
      <c r="P146" s="353"/>
      <c r="Q146" s="353">
        <v>28074.29</v>
      </c>
      <c r="R146" s="350">
        <f t="shared" si="7"/>
        <v>66.843547619047612</v>
      </c>
    </row>
    <row r="147" spans="1:18" s="50" customFormat="1" ht="46.5" x14ac:dyDescent="0.35">
      <c r="A147" s="44"/>
      <c r="B147" s="171"/>
      <c r="C147" s="171"/>
      <c r="D147" s="171"/>
      <c r="E147" s="171"/>
      <c r="F147" s="328"/>
      <c r="G147" s="51" t="s">
        <v>704</v>
      </c>
      <c r="H147" s="51"/>
      <c r="I147" s="3" t="s">
        <v>703</v>
      </c>
      <c r="J147" s="48"/>
      <c r="K147" s="49"/>
      <c r="L147" s="49"/>
      <c r="M147" s="225"/>
      <c r="N147" s="49"/>
      <c r="O147" s="355">
        <f>O149+O148</f>
        <v>230000</v>
      </c>
      <c r="P147" s="353"/>
      <c r="Q147" s="353">
        <f>Q149+Q148</f>
        <v>230000</v>
      </c>
      <c r="R147" s="350">
        <f t="shared" si="7"/>
        <v>100</v>
      </c>
    </row>
    <row r="148" spans="1:18" s="50" customFormat="1" ht="77.5" x14ac:dyDescent="0.35">
      <c r="A148" s="44"/>
      <c r="B148" s="171"/>
      <c r="C148" s="171"/>
      <c r="D148" s="171"/>
      <c r="E148" s="171"/>
      <c r="F148" s="343"/>
      <c r="G148" s="51" t="s">
        <v>3</v>
      </c>
      <c r="H148" s="51"/>
      <c r="I148" s="119"/>
      <c r="J148" s="48">
        <v>100</v>
      </c>
      <c r="K148" s="49"/>
      <c r="L148" s="49"/>
      <c r="M148" s="225"/>
      <c r="N148" s="49"/>
      <c r="O148" s="355">
        <v>60000</v>
      </c>
      <c r="P148" s="353"/>
      <c r="Q148" s="353">
        <v>60000</v>
      </c>
      <c r="R148" s="350">
        <f t="shared" si="7"/>
        <v>100</v>
      </c>
    </row>
    <row r="149" spans="1:18" s="50" customFormat="1" ht="46.5" x14ac:dyDescent="0.35">
      <c r="A149" s="44"/>
      <c r="B149" s="171"/>
      <c r="C149" s="171"/>
      <c r="D149" s="171"/>
      <c r="E149" s="171"/>
      <c r="F149" s="328"/>
      <c r="G149" s="51" t="s">
        <v>4</v>
      </c>
      <c r="H149" s="51"/>
      <c r="I149" s="119"/>
      <c r="J149" s="48">
        <v>600</v>
      </c>
      <c r="K149" s="49"/>
      <c r="L149" s="49"/>
      <c r="M149" s="225"/>
      <c r="N149" s="49"/>
      <c r="O149" s="355">
        <v>170000</v>
      </c>
      <c r="P149" s="353"/>
      <c r="Q149" s="353">
        <v>170000</v>
      </c>
      <c r="R149" s="350">
        <f t="shared" si="7"/>
        <v>100</v>
      </c>
    </row>
    <row r="150" spans="1:18" s="50" customFormat="1" ht="30" x14ac:dyDescent="0.35">
      <c r="A150" s="44"/>
      <c r="B150" s="67"/>
      <c r="C150" s="67"/>
      <c r="D150" s="67"/>
      <c r="E150" s="67"/>
      <c r="F150" s="68"/>
      <c r="G150" s="115" t="s">
        <v>365</v>
      </c>
      <c r="H150" s="120">
        <v>803</v>
      </c>
      <c r="I150" s="119"/>
      <c r="J150" s="48"/>
      <c r="K150" s="121" t="e">
        <f>K151+K226+K248+K257+K269+K280+K286</f>
        <v>#REF!</v>
      </c>
      <c r="L150" s="121" t="e">
        <f>L151+L226+L248+L257+L269+L280+L286</f>
        <v>#REF!</v>
      </c>
      <c r="M150" s="226" t="e">
        <f>M151+M226+M248+M257+M269+M280+M286</f>
        <v>#REF!</v>
      </c>
      <c r="N150" s="121" t="e">
        <f>N151+N226+N248+N257+N269+N280+N286</f>
        <v>#REF!</v>
      </c>
      <c r="O150" s="354">
        <f>O151+O226+O248+O257+O269+O280+O286</f>
        <v>302742238</v>
      </c>
      <c r="P150" s="352"/>
      <c r="Q150" s="352">
        <f>Q151+Q226+Q248+Q257+Q269+Q280+Q286</f>
        <v>301856320.63</v>
      </c>
      <c r="R150" s="350">
        <f t="shared" si="7"/>
        <v>99.707369088683279</v>
      </c>
    </row>
    <row r="151" spans="1:18" s="50" customFormat="1" ht="47.15" customHeight="1" x14ac:dyDescent="0.35">
      <c r="A151" s="44"/>
      <c r="B151" s="67"/>
      <c r="C151" s="67"/>
      <c r="D151" s="67"/>
      <c r="E151" s="67"/>
      <c r="F151" s="68"/>
      <c r="G151" s="306" t="s">
        <v>639</v>
      </c>
      <c r="H151" s="120"/>
      <c r="I151" s="60" t="s">
        <v>332</v>
      </c>
      <c r="J151" s="48"/>
      <c r="K151" s="121" t="e">
        <f t="shared" ref="K151:Q151" si="8">K152</f>
        <v>#REF!</v>
      </c>
      <c r="L151" s="121" t="e">
        <f t="shared" si="8"/>
        <v>#REF!</v>
      </c>
      <c r="M151" s="226" t="e">
        <f t="shared" si="8"/>
        <v>#REF!</v>
      </c>
      <c r="N151" s="121" t="e">
        <f t="shared" si="8"/>
        <v>#REF!</v>
      </c>
      <c r="O151" s="354">
        <f t="shared" si="8"/>
        <v>296177876</v>
      </c>
      <c r="P151" s="352"/>
      <c r="Q151" s="352">
        <f t="shared" si="8"/>
        <v>295362348.93000001</v>
      </c>
      <c r="R151" s="350">
        <f t="shared" si="7"/>
        <v>99.724649564979657</v>
      </c>
    </row>
    <row r="152" spans="1:18" s="50" customFormat="1" ht="68.5" customHeight="1" x14ac:dyDescent="0.35">
      <c r="A152" s="44"/>
      <c r="B152" s="71"/>
      <c r="C152" s="71"/>
      <c r="D152" s="71"/>
      <c r="E152" s="71"/>
      <c r="F152" s="72"/>
      <c r="G152" s="307" t="s">
        <v>640</v>
      </c>
      <c r="H152" s="120"/>
      <c r="I152" s="47" t="s">
        <v>331</v>
      </c>
      <c r="J152" s="48"/>
      <c r="K152" s="49" t="e">
        <f>K153+K195+#REF!+K211</f>
        <v>#REF!</v>
      </c>
      <c r="L152" s="49" t="e">
        <f>L153+L195</f>
        <v>#REF!</v>
      </c>
      <c r="M152" s="225" t="e">
        <f>M153+M195</f>
        <v>#REF!</v>
      </c>
      <c r="N152" s="49" t="e">
        <f>N153+N195+#REF!+N211</f>
        <v>#REF!</v>
      </c>
      <c r="O152" s="355">
        <f>O153+O195+O211+O218+O221</f>
        <v>296177876</v>
      </c>
      <c r="P152" s="353"/>
      <c r="Q152" s="353">
        <f>Q153+Q195+Q211+Q218+Q221</f>
        <v>295362348.93000001</v>
      </c>
      <c r="R152" s="350">
        <f t="shared" si="7"/>
        <v>99.724649564979657</v>
      </c>
    </row>
    <row r="153" spans="1:18" ht="34.15" customHeight="1" x14ac:dyDescent="0.35">
      <c r="A153" s="4"/>
      <c r="B153" s="10"/>
      <c r="C153" s="10"/>
      <c r="D153" s="10"/>
      <c r="E153" s="10"/>
      <c r="F153" s="11"/>
      <c r="G153" s="63" t="s">
        <v>242</v>
      </c>
      <c r="H153" s="63"/>
      <c r="I153" s="64" t="s">
        <v>179</v>
      </c>
      <c r="J153" s="118"/>
      <c r="K153" s="49" t="e">
        <f>K156+K160+K164+K167+K173+K175+K181+K183+K187+K171+K154</f>
        <v>#REF!</v>
      </c>
      <c r="L153" s="49">
        <f>L156+L160+L164+L167+L173+L175+L181+L183+L187+L171</f>
        <v>484737</v>
      </c>
      <c r="M153" s="225">
        <f>M156+M160+M164+M167+M173+M175+M181+M183+M187+M171</f>
        <v>207363597</v>
      </c>
      <c r="N153" s="49" t="e">
        <f>N156+N160+N164+N167+N173+N175+N181+N183+N187+N171+N154</f>
        <v>#REF!</v>
      </c>
      <c r="O153" s="359">
        <f>O156+O160+O164+O167+O173+O175+O181+O183+O187+O171+O154+O189+O191+O177+O179+O186+O193</f>
        <v>244443937</v>
      </c>
      <c r="P153" s="353"/>
      <c r="Q153" s="358">
        <f>Q156+Q160+Q164+Q167+Q173+Q175+Q181+Q183+Q187+Q171+Q154+Q189+Q191+Q177+Q179+Q186+Q193</f>
        <v>244065787.19999999</v>
      </c>
      <c r="R153" s="350">
        <f t="shared" si="7"/>
        <v>99.84530203340654</v>
      </c>
    </row>
    <row r="154" spans="1:18" ht="35.25" customHeight="1" x14ac:dyDescent="0.35">
      <c r="A154" s="4"/>
      <c r="B154" s="10"/>
      <c r="C154" s="10"/>
      <c r="D154" s="10"/>
      <c r="E154" s="10"/>
      <c r="F154" s="11"/>
      <c r="G154" s="51" t="s">
        <v>531</v>
      </c>
      <c r="H154" s="63"/>
      <c r="I154" s="79" t="s">
        <v>530</v>
      </c>
      <c r="J154" s="118"/>
      <c r="K154" s="49">
        <f>K155</f>
        <v>6336882</v>
      </c>
      <c r="L154" s="49"/>
      <c r="M154" s="225"/>
      <c r="N154" s="49">
        <f>N155</f>
        <v>0</v>
      </c>
      <c r="O154" s="355">
        <f>O155</f>
        <v>6272052</v>
      </c>
      <c r="P154" s="353"/>
      <c r="Q154" s="353">
        <f>Q155</f>
        <v>6249036.9699999997</v>
      </c>
      <c r="R154" s="350">
        <f t="shared" si="7"/>
        <v>99.633054222126987</v>
      </c>
    </row>
    <row r="155" spans="1:18" ht="40" customHeight="1" x14ac:dyDescent="0.35">
      <c r="A155" s="4"/>
      <c r="B155" s="10"/>
      <c r="C155" s="10"/>
      <c r="D155" s="10"/>
      <c r="E155" s="10"/>
      <c r="F155" s="11"/>
      <c r="G155" s="51" t="s">
        <v>4</v>
      </c>
      <c r="H155" s="63"/>
      <c r="I155" s="64"/>
      <c r="J155" s="48">
        <v>600</v>
      </c>
      <c r="K155" s="49">
        <v>6336882</v>
      </c>
      <c r="L155" s="49"/>
      <c r="M155" s="225"/>
      <c r="N155" s="49"/>
      <c r="O155" s="355">
        <f>6511548-239496</f>
        <v>6272052</v>
      </c>
      <c r="P155" s="353"/>
      <c r="Q155" s="353">
        <v>6249036.9699999997</v>
      </c>
      <c r="R155" s="350">
        <f t="shared" si="7"/>
        <v>99.633054222126987</v>
      </c>
    </row>
    <row r="156" spans="1:18" ht="32.5" customHeight="1" x14ac:dyDescent="0.35">
      <c r="A156" s="4"/>
      <c r="B156" s="15"/>
      <c r="C156" s="15"/>
      <c r="D156" s="15"/>
      <c r="E156" s="15"/>
      <c r="F156" s="16"/>
      <c r="G156" s="66" t="s">
        <v>61</v>
      </c>
      <c r="H156" s="66"/>
      <c r="I156" s="47" t="s">
        <v>180</v>
      </c>
      <c r="J156" s="48"/>
      <c r="K156" s="49">
        <f>K157+K159</f>
        <v>26091000</v>
      </c>
      <c r="L156" s="49">
        <f>L157</f>
        <v>0</v>
      </c>
      <c r="M156" s="225">
        <f>M157</f>
        <v>26091000</v>
      </c>
      <c r="N156" s="49">
        <f>N157+N159</f>
        <v>0</v>
      </c>
      <c r="O156" s="355">
        <f>O157+O159</f>
        <v>27854329</v>
      </c>
      <c r="P156" s="353"/>
      <c r="Q156" s="363">
        <f>Q157+Q159</f>
        <v>27854327.609999999</v>
      </c>
      <c r="R156" s="350">
        <f t="shared" si="7"/>
        <v>99.99999500975234</v>
      </c>
    </row>
    <row r="157" spans="1:18" ht="35.5" customHeight="1" x14ac:dyDescent="0.35">
      <c r="A157" s="4"/>
      <c r="B157" s="383">
        <v>500</v>
      </c>
      <c r="C157" s="383"/>
      <c r="D157" s="383"/>
      <c r="E157" s="383"/>
      <c r="F157" s="375"/>
      <c r="G157" s="51" t="s">
        <v>4</v>
      </c>
      <c r="H157" s="51"/>
      <c r="I157" s="123"/>
      <c r="J157" s="48">
        <v>600</v>
      </c>
      <c r="K157" s="49">
        <v>26091000</v>
      </c>
      <c r="L157" s="49"/>
      <c r="M157" s="225">
        <f>K157+L157</f>
        <v>26091000</v>
      </c>
      <c r="N157" s="49"/>
      <c r="O157" s="353">
        <f>30445212-2590883</f>
        <v>27854329</v>
      </c>
      <c r="P157" s="353"/>
      <c r="Q157" s="363">
        <v>27854327.609999999</v>
      </c>
      <c r="R157" s="350">
        <f t="shared" si="7"/>
        <v>99.99999500975234</v>
      </c>
    </row>
    <row r="158" spans="1:18" ht="15.75" hidden="1" customHeight="1" x14ac:dyDescent="0.35">
      <c r="A158" s="4"/>
      <c r="B158" s="373" t="s">
        <v>49</v>
      </c>
      <c r="C158" s="373"/>
      <c r="D158" s="373"/>
      <c r="E158" s="373"/>
      <c r="F158" s="374"/>
      <c r="G158" s="51" t="s">
        <v>1</v>
      </c>
      <c r="H158" s="51"/>
      <c r="I158" s="123"/>
      <c r="J158" s="48">
        <v>800</v>
      </c>
      <c r="K158" s="49">
        <v>0</v>
      </c>
      <c r="L158" s="49"/>
      <c r="M158" s="225">
        <v>0</v>
      </c>
      <c r="N158" s="49"/>
      <c r="O158" s="355"/>
      <c r="P158" s="353"/>
      <c r="Q158" s="353"/>
      <c r="R158" s="350" t="e">
        <f t="shared" si="7"/>
        <v>#DIV/0!</v>
      </c>
    </row>
    <row r="159" spans="1:18" ht="15.75" hidden="1" customHeight="1" x14ac:dyDescent="0.35">
      <c r="A159" s="4"/>
      <c r="B159" s="17"/>
      <c r="C159" s="17"/>
      <c r="D159" s="17"/>
      <c r="E159" s="17"/>
      <c r="F159" s="18"/>
      <c r="G159" s="51" t="s">
        <v>1</v>
      </c>
      <c r="H159" s="51"/>
      <c r="I159" s="123"/>
      <c r="J159" s="48">
        <v>800</v>
      </c>
      <c r="K159" s="49"/>
      <c r="L159" s="49"/>
      <c r="M159" s="225"/>
      <c r="N159" s="49"/>
      <c r="O159" s="355">
        <v>0</v>
      </c>
      <c r="P159" s="353"/>
      <c r="Q159" s="353"/>
      <c r="R159" s="350" t="e">
        <f t="shared" si="7"/>
        <v>#DIV/0!</v>
      </c>
    </row>
    <row r="160" spans="1:18" ht="35.5" customHeight="1" x14ac:dyDescent="0.35">
      <c r="A160" s="4"/>
      <c r="B160" s="17"/>
      <c r="C160" s="17"/>
      <c r="D160" s="17"/>
      <c r="E160" s="17"/>
      <c r="F160" s="18"/>
      <c r="G160" s="111" t="s">
        <v>496</v>
      </c>
      <c r="H160" s="66"/>
      <c r="I160" s="47" t="s">
        <v>181</v>
      </c>
      <c r="J160" s="48"/>
      <c r="K160" s="49">
        <f>K161+K163</f>
        <v>42769648</v>
      </c>
      <c r="L160" s="49">
        <f>L161+L162</f>
        <v>26122</v>
      </c>
      <c r="M160" s="225">
        <f>M161+M162</f>
        <v>42680722</v>
      </c>
      <c r="N160" s="49">
        <f>N161+N163</f>
        <v>2000000</v>
      </c>
      <c r="O160" s="355">
        <f>O161+O163</f>
        <v>48124167</v>
      </c>
      <c r="P160" s="353"/>
      <c r="Q160" s="363">
        <f>Q161</f>
        <v>48124162.159999996</v>
      </c>
      <c r="R160" s="350">
        <f t="shared" si="7"/>
        <v>99.999989942683058</v>
      </c>
    </row>
    <row r="161" spans="1:18" ht="48" customHeight="1" x14ac:dyDescent="0.35">
      <c r="A161" s="4"/>
      <c r="B161" s="383">
        <v>500</v>
      </c>
      <c r="C161" s="383"/>
      <c r="D161" s="383"/>
      <c r="E161" s="383"/>
      <c r="F161" s="375"/>
      <c r="G161" s="51" t="s">
        <v>4</v>
      </c>
      <c r="H161" s="51"/>
      <c r="I161" s="123"/>
      <c r="J161" s="48">
        <v>600</v>
      </c>
      <c r="K161" s="49">
        <v>42654600</v>
      </c>
      <c r="L161" s="49">
        <v>26122</v>
      </c>
      <c r="M161" s="225">
        <f>K161+L161</f>
        <v>42680722</v>
      </c>
      <c r="N161" s="49">
        <v>0</v>
      </c>
      <c r="O161" s="353">
        <f>50780986-2656819</f>
        <v>48124167</v>
      </c>
      <c r="P161" s="353"/>
      <c r="Q161" s="363">
        <v>48124162.159999996</v>
      </c>
      <c r="R161" s="350">
        <f t="shared" si="7"/>
        <v>99.999989942683058</v>
      </c>
    </row>
    <row r="162" spans="1:18" ht="28.5" hidden="1" customHeight="1" x14ac:dyDescent="0.35">
      <c r="A162" s="4"/>
      <c r="B162" s="17"/>
      <c r="C162" s="17"/>
      <c r="D162" s="17"/>
      <c r="E162" s="17"/>
      <c r="F162" s="18"/>
      <c r="G162" s="51" t="s">
        <v>1</v>
      </c>
      <c r="H162" s="51"/>
      <c r="I162" s="123"/>
      <c r="J162" s="48">
        <v>800</v>
      </c>
      <c r="K162" s="49">
        <v>0</v>
      </c>
      <c r="L162" s="49"/>
      <c r="M162" s="225">
        <v>0</v>
      </c>
      <c r="N162" s="49"/>
      <c r="O162" s="355"/>
      <c r="P162" s="353"/>
      <c r="Q162" s="353"/>
      <c r="R162" s="350" t="e">
        <f t="shared" si="7"/>
        <v>#DIV/0!</v>
      </c>
    </row>
    <row r="163" spans="1:18" ht="23.15" hidden="1" customHeight="1" x14ac:dyDescent="0.35">
      <c r="A163" s="4"/>
      <c r="B163" s="17"/>
      <c r="C163" s="17"/>
      <c r="D163" s="17"/>
      <c r="E163" s="17"/>
      <c r="F163" s="18"/>
      <c r="G163" s="51" t="s">
        <v>1</v>
      </c>
      <c r="H163" s="51"/>
      <c r="I163" s="123"/>
      <c r="J163" s="48">
        <v>800</v>
      </c>
      <c r="K163" s="49">
        <v>115048</v>
      </c>
      <c r="L163" s="49"/>
      <c r="M163" s="225"/>
      <c r="N163" s="49">
        <v>2000000</v>
      </c>
      <c r="O163" s="353">
        <v>0</v>
      </c>
      <c r="P163" s="353"/>
      <c r="Q163" s="353"/>
      <c r="R163" s="350" t="e">
        <f t="shared" si="7"/>
        <v>#DIV/0!</v>
      </c>
    </row>
    <row r="164" spans="1:18" s="76" customFormat="1" ht="54.5" customHeight="1" x14ac:dyDescent="0.35">
      <c r="A164" s="75"/>
      <c r="B164" s="391" t="s">
        <v>48</v>
      </c>
      <c r="C164" s="391"/>
      <c r="D164" s="391"/>
      <c r="E164" s="391"/>
      <c r="F164" s="392"/>
      <c r="G164" s="111" t="s">
        <v>495</v>
      </c>
      <c r="H164" s="111"/>
      <c r="I164" s="47" t="s">
        <v>182</v>
      </c>
      <c r="J164" s="48"/>
      <c r="K164" s="49">
        <f>K165</f>
        <v>4324295</v>
      </c>
      <c r="L164" s="49">
        <f>L165</f>
        <v>0</v>
      </c>
      <c r="M164" s="225">
        <f>M165</f>
        <v>4324295</v>
      </c>
      <c r="N164" s="49">
        <f>N165</f>
        <v>0</v>
      </c>
      <c r="O164" s="355">
        <f>O165+O166</f>
        <v>9093556</v>
      </c>
      <c r="P164" s="353"/>
      <c r="Q164" s="363">
        <f>Q165</f>
        <v>9088935.3399999999</v>
      </c>
      <c r="R164" s="350">
        <f t="shared" si="7"/>
        <v>99.949187534557439</v>
      </c>
    </row>
    <row r="165" spans="1:18" ht="51.5" customHeight="1" x14ac:dyDescent="0.35">
      <c r="A165" s="4"/>
      <c r="B165" s="17"/>
      <c r="C165" s="17"/>
      <c r="D165" s="17"/>
      <c r="E165" s="17"/>
      <c r="F165" s="18"/>
      <c r="G165" s="51" t="s">
        <v>4</v>
      </c>
      <c r="H165" s="51"/>
      <c r="I165" s="123"/>
      <c r="J165" s="48">
        <v>600</v>
      </c>
      <c r="K165" s="49">
        <v>4324295</v>
      </c>
      <c r="L165" s="49">
        <v>0</v>
      </c>
      <c r="M165" s="225">
        <f>K165+L165</f>
        <v>4324295</v>
      </c>
      <c r="N165" s="49"/>
      <c r="O165" s="353">
        <f>10084843-991287</f>
        <v>9093556</v>
      </c>
      <c r="P165" s="353"/>
      <c r="Q165" s="363">
        <v>9088935.3399999999</v>
      </c>
      <c r="R165" s="350">
        <f t="shared" si="7"/>
        <v>99.949187534557439</v>
      </c>
    </row>
    <row r="166" spans="1:18" ht="16.5" hidden="1" customHeight="1" x14ac:dyDescent="0.35">
      <c r="A166" s="4"/>
      <c r="B166" s="312"/>
      <c r="C166" s="312"/>
      <c r="D166" s="312"/>
      <c r="E166" s="312"/>
      <c r="F166" s="313"/>
      <c r="G166" s="51" t="s">
        <v>1</v>
      </c>
      <c r="H166" s="51"/>
      <c r="I166" s="123"/>
      <c r="J166" s="48">
        <v>800</v>
      </c>
      <c r="K166" s="49"/>
      <c r="L166" s="49"/>
      <c r="M166" s="225"/>
      <c r="N166" s="49"/>
      <c r="O166" s="353">
        <v>0</v>
      </c>
      <c r="P166" s="353"/>
      <c r="Q166" s="353"/>
      <c r="R166" s="350" t="e">
        <f t="shared" si="7"/>
        <v>#DIV/0!</v>
      </c>
    </row>
    <row r="167" spans="1:18" ht="32.9" customHeight="1" x14ac:dyDescent="0.35">
      <c r="A167" s="4"/>
      <c r="B167" s="383">
        <v>500</v>
      </c>
      <c r="C167" s="383"/>
      <c r="D167" s="383"/>
      <c r="E167" s="383"/>
      <c r="F167" s="375"/>
      <c r="G167" s="66" t="s">
        <v>62</v>
      </c>
      <c r="H167" s="66"/>
      <c r="I167" s="47" t="s">
        <v>183</v>
      </c>
      <c r="J167" s="48"/>
      <c r="K167" s="49" t="e">
        <f>K168+K169+K170+#REF!</f>
        <v>#REF!</v>
      </c>
      <c r="L167" s="49">
        <f>L168+L169+L170</f>
        <v>458615</v>
      </c>
      <c r="M167" s="225">
        <f>M168+M169+M170</f>
        <v>7931315</v>
      </c>
      <c r="N167" s="49" t="e">
        <f>N168+N169+N170+#REF!</f>
        <v>#REF!</v>
      </c>
      <c r="O167" s="355">
        <f>O168+O169+O170</f>
        <v>10065700</v>
      </c>
      <c r="P167" s="353"/>
      <c r="Q167" s="363">
        <f>Q168+Q169+Q170</f>
        <v>9788269.459999999</v>
      </c>
      <c r="R167" s="350">
        <f t="shared" si="7"/>
        <v>97.24380281550215</v>
      </c>
    </row>
    <row r="168" spans="1:18" ht="79" customHeight="1" x14ac:dyDescent="0.35">
      <c r="A168" s="4"/>
      <c r="B168" s="373" t="s">
        <v>47</v>
      </c>
      <c r="C168" s="373"/>
      <c r="D168" s="373"/>
      <c r="E168" s="373"/>
      <c r="F168" s="374"/>
      <c r="G168" s="51" t="s">
        <v>3</v>
      </c>
      <c r="H168" s="51"/>
      <c r="I168" s="123"/>
      <c r="J168" s="48">
        <v>100</v>
      </c>
      <c r="K168" s="49">
        <v>6318600</v>
      </c>
      <c r="L168" s="49">
        <v>460624</v>
      </c>
      <c r="M168" s="225">
        <f>L168+K168</f>
        <v>6779224</v>
      </c>
      <c r="N168" s="49"/>
      <c r="O168" s="353">
        <f>8279100+745000</f>
        <v>9024100</v>
      </c>
      <c r="P168" s="353"/>
      <c r="Q168" s="363">
        <v>8883600.5099999998</v>
      </c>
      <c r="R168" s="350">
        <f t="shared" si="7"/>
        <v>98.443063685021215</v>
      </c>
    </row>
    <row r="169" spans="1:18" ht="36.75" customHeight="1" x14ac:dyDescent="0.35">
      <c r="A169" s="4"/>
      <c r="B169" s="17"/>
      <c r="C169" s="17"/>
      <c r="D169" s="17"/>
      <c r="E169" s="17"/>
      <c r="F169" s="18"/>
      <c r="G169" s="51" t="s">
        <v>2</v>
      </c>
      <c r="H169" s="51"/>
      <c r="I169" s="123"/>
      <c r="J169" s="48">
        <v>200</v>
      </c>
      <c r="K169" s="49">
        <v>1132100</v>
      </c>
      <c r="L169" s="49">
        <v>-7555</v>
      </c>
      <c r="M169" s="225">
        <f>K169+L169</f>
        <v>1124545</v>
      </c>
      <c r="N169" s="49"/>
      <c r="O169" s="353">
        <f>1265600-242000</f>
        <v>1023600</v>
      </c>
      <c r="P169" s="353"/>
      <c r="Q169" s="363">
        <v>887001.95</v>
      </c>
      <c r="R169" s="350">
        <f t="shared" si="7"/>
        <v>86.655133841344266</v>
      </c>
    </row>
    <row r="170" spans="1:18" ht="24" customHeight="1" x14ac:dyDescent="0.35">
      <c r="A170" s="4"/>
      <c r="B170" s="17"/>
      <c r="C170" s="17"/>
      <c r="D170" s="17"/>
      <c r="E170" s="17"/>
      <c r="F170" s="18"/>
      <c r="G170" s="51" t="s">
        <v>1</v>
      </c>
      <c r="H170" s="51"/>
      <c r="I170" s="123"/>
      <c r="J170" s="48">
        <v>800</v>
      </c>
      <c r="K170" s="49">
        <v>22000</v>
      </c>
      <c r="L170" s="49">
        <v>5546</v>
      </c>
      <c r="M170" s="225">
        <f>L170+K170</f>
        <v>27546</v>
      </c>
      <c r="N170" s="49"/>
      <c r="O170" s="353">
        <v>18000</v>
      </c>
      <c r="P170" s="353"/>
      <c r="Q170" s="363">
        <v>17667</v>
      </c>
      <c r="R170" s="350">
        <f t="shared" si="7"/>
        <v>98.15</v>
      </c>
    </row>
    <row r="171" spans="1:18" ht="41.15" customHeight="1" x14ac:dyDescent="0.35">
      <c r="A171" s="4"/>
      <c r="B171" s="17"/>
      <c r="C171" s="17"/>
      <c r="D171" s="17"/>
      <c r="E171" s="17"/>
      <c r="F171" s="18"/>
      <c r="G171" s="51" t="s">
        <v>467</v>
      </c>
      <c r="H171" s="51"/>
      <c r="I171" s="47" t="s">
        <v>468</v>
      </c>
      <c r="J171" s="48"/>
      <c r="K171" s="49">
        <f>K172</f>
        <v>1335605</v>
      </c>
      <c r="L171" s="49">
        <f>L172</f>
        <v>0</v>
      </c>
      <c r="M171" s="225">
        <f>M172</f>
        <v>1335605</v>
      </c>
      <c r="N171" s="49">
        <f>N172</f>
        <v>0</v>
      </c>
      <c r="O171" s="355">
        <f>O172</f>
        <v>240226</v>
      </c>
      <c r="P171" s="353"/>
      <c r="Q171" s="363">
        <f>Q172</f>
        <v>240225.82</v>
      </c>
      <c r="R171" s="350">
        <f t="shared" si="7"/>
        <v>99.999925070558561</v>
      </c>
    </row>
    <row r="172" spans="1:18" ht="34" customHeight="1" x14ac:dyDescent="0.35">
      <c r="A172" s="4"/>
      <c r="B172" s="17"/>
      <c r="C172" s="17"/>
      <c r="D172" s="17"/>
      <c r="E172" s="17"/>
      <c r="F172" s="18"/>
      <c r="G172" s="51" t="s">
        <v>4</v>
      </c>
      <c r="H172" s="51"/>
      <c r="I172" s="123"/>
      <c r="J172" s="48">
        <v>600</v>
      </c>
      <c r="K172" s="49">
        <v>1335605</v>
      </c>
      <c r="L172" s="49">
        <v>0</v>
      </c>
      <c r="M172" s="225">
        <f>K172+L172</f>
        <v>1335605</v>
      </c>
      <c r="N172" s="49"/>
      <c r="O172" s="353">
        <v>240226</v>
      </c>
      <c r="P172" s="353"/>
      <c r="Q172" s="363">
        <v>240225.82</v>
      </c>
      <c r="R172" s="350">
        <f t="shared" si="7"/>
        <v>99.999925070558561</v>
      </c>
    </row>
    <row r="173" spans="1:18" ht="35.15" customHeight="1" x14ac:dyDescent="0.35">
      <c r="A173" s="4"/>
      <c r="B173" s="17"/>
      <c r="C173" s="17"/>
      <c r="D173" s="17"/>
      <c r="E173" s="17"/>
      <c r="F173" s="18"/>
      <c r="G173" s="51" t="s">
        <v>244</v>
      </c>
      <c r="H173" s="51"/>
      <c r="I173" s="47" t="s">
        <v>243</v>
      </c>
      <c r="J173" s="48"/>
      <c r="K173" s="49">
        <f>K174</f>
        <v>90400</v>
      </c>
      <c r="L173" s="49"/>
      <c r="M173" s="225">
        <f>M174</f>
        <v>90400</v>
      </c>
      <c r="N173" s="49">
        <f>N174</f>
        <v>0</v>
      </c>
      <c r="O173" s="355">
        <f>O174</f>
        <v>31900</v>
      </c>
      <c r="P173" s="353"/>
      <c r="Q173" s="353">
        <f>Q174</f>
        <v>31900</v>
      </c>
      <c r="R173" s="350">
        <f t="shared" si="7"/>
        <v>100</v>
      </c>
    </row>
    <row r="174" spans="1:18" ht="52" customHeight="1" x14ac:dyDescent="0.35">
      <c r="A174" s="4"/>
      <c r="B174" s="383">
        <v>500</v>
      </c>
      <c r="C174" s="383"/>
      <c r="D174" s="383"/>
      <c r="E174" s="383"/>
      <c r="F174" s="375"/>
      <c r="G174" s="51" t="s">
        <v>4</v>
      </c>
      <c r="H174" s="51"/>
      <c r="I174" s="123"/>
      <c r="J174" s="48">
        <v>600</v>
      </c>
      <c r="K174" s="49">
        <v>90400</v>
      </c>
      <c r="L174" s="49"/>
      <c r="M174" s="225">
        <v>90400</v>
      </c>
      <c r="N174" s="49"/>
      <c r="O174" s="355">
        <f>90400-58500</f>
        <v>31900</v>
      </c>
      <c r="P174" s="353"/>
      <c r="Q174" s="353">
        <v>31900</v>
      </c>
      <c r="R174" s="350">
        <f t="shared" si="7"/>
        <v>100</v>
      </c>
    </row>
    <row r="175" spans="1:18" s="43" customFormat="1" ht="46.5" hidden="1" x14ac:dyDescent="0.35">
      <c r="A175" s="40"/>
      <c r="B175" s="386" t="s">
        <v>46</v>
      </c>
      <c r="C175" s="386"/>
      <c r="D175" s="386"/>
      <c r="E175" s="386"/>
      <c r="F175" s="387"/>
      <c r="G175" s="51" t="s">
        <v>177</v>
      </c>
      <c r="H175" s="51"/>
      <c r="I175" s="47" t="s">
        <v>333</v>
      </c>
      <c r="J175" s="48"/>
      <c r="K175" s="49">
        <f>K176</f>
        <v>0</v>
      </c>
      <c r="L175" s="49"/>
      <c r="M175" s="225">
        <f>M176</f>
        <v>0</v>
      </c>
      <c r="N175" s="49"/>
      <c r="O175" s="355"/>
      <c r="P175" s="353"/>
      <c r="Q175" s="353"/>
      <c r="R175" s="350" t="e">
        <f t="shared" si="7"/>
        <v>#DIV/0!</v>
      </c>
    </row>
    <row r="176" spans="1:18" s="43" customFormat="1" ht="31" hidden="1" x14ac:dyDescent="0.35">
      <c r="A176" s="40"/>
      <c r="B176" s="41"/>
      <c r="C176" s="41"/>
      <c r="D176" s="41"/>
      <c r="E176" s="41"/>
      <c r="F176" s="42"/>
      <c r="G176" s="51" t="s">
        <v>4</v>
      </c>
      <c r="H176" s="51"/>
      <c r="I176" s="123"/>
      <c r="J176" s="48">
        <v>600</v>
      </c>
      <c r="K176" s="49"/>
      <c r="L176" s="49"/>
      <c r="M176" s="225"/>
      <c r="N176" s="49"/>
      <c r="O176" s="355"/>
      <c r="P176" s="353"/>
      <c r="Q176" s="353"/>
      <c r="R176" s="350" t="e">
        <f t="shared" si="7"/>
        <v>#DIV/0!</v>
      </c>
    </row>
    <row r="177" spans="1:18" s="43" customFormat="1" ht="46.5" hidden="1" x14ac:dyDescent="0.35">
      <c r="A177" s="40"/>
      <c r="B177" s="293"/>
      <c r="C177" s="293"/>
      <c r="D177" s="293"/>
      <c r="E177" s="293"/>
      <c r="F177" s="294"/>
      <c r="G177" s="14" t="s">
        <v>613</v>
      </c>
      <c r="H177" s="14"/>
      <c r="I177" s="3" t="s">
        <v>615</v>
      </c>
      <c r="J177" s="204"/>
      <c r="K177" s="207"/>
      <c r="L177" s="207"/>
      <c r="M177" s="299"/>
      <c r="N177" s="207"/>
      <c r="O177" s="353">
        <f>O178</f>
        <v>0</v>
      </c>
      <c r="P177" s="353"/>
      <c r="Q177" s="353"/>
      <c r="R177" s="350" t="e">
        <f t="shared" si="7"/>
        <v>#DIV/0!</v>
      </c>
    </row>
    <row r="178" spans="1:18" s="43" customFormat="1" ht="31" hidden="1" x14ac:dyDescent="0.35">
      <c r="A178" s="40"/>
      <c r="B178" s="293"/>
      <c r="C178" s="293"/>
      <c r="D178" s="293"/>
      <c r="E178" s="293"/>
      <c r="F178" s="294"/>
      <c r="G178" s="14" t="s">
        <v>4</v>
      </c>
      <c r="H178" s="14"/>
      <c r="I178" s="300"/>
      <c r="J178" s="204">
        <v>600</v>
      </c>
      <c r="K178" s="207"/>
      <c r="L178" s="207"/>
      <c r="M178" s="299"/>
      <c r="N178" s="207"/>
      <c r="O178" s="353"/>
      <c r="P178" s="353"/>
      <c r="Q178" s="353"/>
      <c r="R178" s="350" t="e">
        <f t="shared" si="7"/>
        <v>#DIV/0!</v>
      </c>
    </row>
    <row r="179" spans="1:18" s="43" customFormat="1" ht="46.5" hidden="1" x14ac:dyDescent="0.35">
      <c r="A179" s="40"/>
      <c r="B179" s="293"/>
      <c r="C179" s="293"/>
      <c r="D179" s="293"/>
      <c r="E179" s="293"/>
      <c r="F179" s="294"/>
      <c r="G179" s="14" t="s">
        <v>614</v>
      </c>
      <c r="H179" s="14"/>
      <c r="I179" s="3" t="s">
        <v>616</v>
      </c>
      <c r="J179" s="204"/>
      <c r="K179" s="207"/>
      <c r="L179" s="207"/>
      <c r="M179" s="299"/>
      <c r="N179" s="207"/>
      <c r="O179" s="353">
        <f>O180</f>
        <v>0</v>
      </c>
      <c r="P179" s="353"/>
      <c r="Q179" s="353"/>
      <c r="R179" s="350" t="e">
        <f t="shared" si="7"/>
        <v>#DIV/0!</v>
      </c>
    </row>
    <row r="180" spans="1:18" s="43" customFormat="1" ht="31" hidden="1" x14ac:dyDescent="0.35">
      <c r="A180" s="40"/>
      <c r="B180" s="293"/>
      <c r="C180" s="293"/>
      <c r="D180" s="293"/>
      <c r="E180" s="293"/>
      <c r="F180" s="294"/>
      <c r="G180" s="14" t="s">
        <v>4</v>
      </c>
      <c r="H180" s="14"/>
      <c r="I180" s="300"/>
      <c r="J180" s="204">
        <v>600</v>
      </c>
      <c r="K180" s="207"/>
      <c r="L180" s="207"/>
      <c r="M180" s="299"/>
      <c r="N180" s="207"/>
      <c r="O180" s="353"/>
      <c r="P180" s="353"/>
      <c r="Q180" s="353"/>
      <c r="R180" s="350" t="e">
        <f t="shared" si="7"/>
        <v>#DIV/0!</v>
      </c>
    </row>
    <row r="181" spans="1:18" s="43" customFormat="1" x14ac:dyDescent="0.35">
      <c r="A181" s="40"/>
      <c r="B181" s="41"/>
      <c r="C181" s="41"/>
      <c r="D181" s="41"/>
      <c r="E181" s="41"/>
      <c r="F181" s="42"/>
      <c r="G181" s="51" t="s">
        <v>682</v>
      </c>
      <c r="H181" s="51"/>
      <c r="I181" s="47" t="s">
        <v>681</v>
      </c>
      <c r="J181" s="48"/>
      <c r="K181" s="49">
        <f>K182</f>
        <v>95312594</v>
      </c>
      <c r="L181" s="49"/>
      <c r="M181" s="225">
        <f>M182</f>
        <v>96275534</v>
      </c>
      <c r="N181" s="49">
        <f>N182</f>
        <v>0</v>
      </c>
      <c r="O181" s="355">
        <f>O182</f>
        <v>138951703</v>
      </c>
      <c r="P181" s="353"/>
      <c r="Q181" s="353">
        <f>Q182</f>
        <v>138951703</v>
      </c>
      <c r="R181" s="350">
        <f t="shared" si="7"/>
        <v>100</v>
      </c>
    </row>
    <row r="182" spans="1:18" s="43" customFormat="1" ht="46" customHeight="1" x14ac:dyDescent="0.35">
      <c r="A182" s="40"/>
      <c r="B182" s="41"/>
      <c r="C182" s="41"/>
      <c r="D182" s="41"/>
      <c r="E182" s="41"/>
      <c r="F182" s="42"/>
      <c r="G182" s="51" t="s">
        <v>4</v>
      </c>
      <c r="H182" s="51"/>
      <c r="I182" s="123"/>
      <c r="J182" s="48">
        <v>600</v>
      </c>
      <c r="K182" s="49">
        <v>95312594</v>
      </c>
      <c r="L182" s="49"/>
      <c r="M182" s="225">
        <v>96275534</v>
      </c>
      <c r="N182" s="49"/>
      <c r="O182" s="353">
        <v>138951703</v>
      </c>
      <c r="P182" s="353"/>
      <c r="Q182" s="353">
        <v>138951703</v>
      </c>
      <c r="R182" s="350">
        <f t="shared" si="7"/>
        <v>100</v>
      </c>
    </row>
    <row r="183" spans="1:18" s="43" customFormat="1" ht="39" hidden="1" customHeight="1" x14ac:dyDescent="0.35">
      <c r="A183" s="40"/>
      <c r="B183" s="41"/>
      <c r="C183" s="41"/>
      <c r="D183" s="41"/>
      <c r="E183" s="41"/>
      <c r="F183" s="42"/>
      <c r="G183" s="51" t="s">
        <v>96</v>
      </c>
      <c r="H183" s="51"/>
      <c r="I183" s="47" t="s">
        <v>334</v>
      </c>
      <c r="J183" s="48"/>
      <c r="K183" s="49">
        <f>K184</f>
        <v>27001255</v>
      </c>
      <c r="L183" s="49"/>
      <c r="M183" s="225">
        <f>M184</f>
        <v>27223358</v>
      </c>
      <c r="N183" s="49">
        <f>N184</f>
        <v>0</v>
      </c>
      <c r="O183" s="355">
        <f>O184</f>
        <v>0</v>
      </c>
      <c r="P183" s="353"/>
      <c r="Q183" s="353"/>
      <c r="R183" s="350" t="e">
        <f t="shared" si="7"/>
        <v>#DIV/0!</v>
      </c>
    </row>
    <row r="184" spans="1:18" s="43" customFormat="1" ht="35.5" hidden="1" customHeight="1" x14ac:dyDescent="0.35">
      <c r="A184" s="40"/>
      <c r="B184" s="41"/>
      <c r="C184" s="41"/>
      <c r="D184" s="41"/>
      <c r="E184" s="41"/>
      <c r="F184" s="42"/>
      <c r="G184" s="51" t="s">
        <v>4</v>
      </c>
      <c r="H184" s="51"/>
      <c r="I184" s="123"/>
      <c r="J184" s="48">
        <v>600</v>
      </c>
      <c r="K184" s="49">
        <v>27001255</v>
      </c>
      <c r="L184" s="49"/>
      <c r="M184" s="225">
        <v>27223358</v>
      </c>
      <c r="N184" s="49"/>
      <c r="O184" s="353"/>
      <c r="P184" s="353"/>
      <c r="Q184" s="353"/>
      <c r="R184" s="350" t="e">
        <f t="shared" si="7"/>
        <v>#DIV/0!</v>
      </c>
    </row>
    <row r="185" spans="1:18" s="43" customFormat="1" ht="39.75" customHeight="1" x14ac:dyDescent="0.35">
      <c r="A185" s="40"/>
      <c r="B185" s="324"/>
      <c r="C185" s="324"/>
      <c r="D185" s="324"/>
      <c r="E185" s="324"/>
      <c r="F185" s="325"/>
      <c r="G185" s="51" t="s">
        <v>706</v>
      </c>
      <c r="H185" s="51"/>
      <c r="I185" s="329" t="s">
        <v>705</v>
      </c>
      <c r="J185" s="48"/>
      <c r="K185" s="49"/>
      <c r="L185" s="49"/>
      <c r="M185" s="225"/>
      <c r="N185" s="49"/>
      <c r="O185" s="353">
        <f>O186</f>
        <v>2261937</v>
      </c>
      <c r="P185" s="353"/>
      <c r="Q185" s="353">
        <f>Q186</f>
        <v>2188859.84</v>
      </c>
      <c r="R185" s="350">
        <f t="shared" si="7"/>
        <v>96.769266341193401</v>
      </c>
    </row>
    <row r="186" spans="1:18" s="43" customFormat="1" ht="35.5" customHeight="1" x14ac:dyDescent="0.35">
      <c r="A186" s="40"/>
      <c r="B186" s="324"/>
      <c r="C186" s="324"/>
      <c r="D186" s="324"/>
      <c r="E186" s="324"/>
      <c r="F186" s="325"/>
      <c r="G186" s="51" t="s">
        <v>4</v>
      </c>
      <c r="H186" s="51"/>
      <c r="I186" s="123"/>
      <c r="J186" s="48">
        <v>600</v>
      </c>
      <c r="K186" s="49"/>
      <c r="L186" s="49"/>
      <c r="M186" s="225"/>
      <c r="N186" s="49"/>
      <c r="O186" s="353">
        <v>2261937</v>
      </c>
      <c r="P186" s="353"/>
      <c r="Q186" s="353">
        <v>2188859.84</v>
      </c>
      <c r="R186" s="350">
        <f t="shared" si="7"/>
        <v>96.769266341193401</v>
      </c>
    </row>
    <row r="187" spans="1:18" s="43" customFormat="1" ht="39" customHeight="1" x14ac:dyDescent="0.35">
      <c r="A187" s="40"/>
      <c r="B187" s="156"/>
      <c r="C187" s="156"/>
      <c r="D187" s="156"/>
      <c r="E187" s="156"/>
      <c r="F187" s="157"/>
      <c r="G187" s="51" t="s">
        <v>413</v>
      </c>
      <c r="H187" s="51"/>
      <c r="I187" s="47" t="s">
        <v>412</v>
      </c>
      <c r="J187" s="48"/>
      <c r="K187" s="49">
        <f>K188</f>
        <v>867504</v>
      </c>
      <c r="L187" s="49"/>
      <c r="M187" s="225">
        <f>M188</f>
        <v>1411368</v>
      </c>
      <c r="N187" s="49">
        <f>N188</f>
        <v>0</v>
      </c>
      <c r="O187" s="355">
        <f>O188</f>
        <v>1518867</v>
      </c>
      <c r="P187" s="353"/>
      <c r="Q187" s="353">
        <f>Q188</f>
        <v>1518867</v>
      </c>
      <c r="R187" s="350">
        <f t="shared" si="7"/>
        <v>100</v>
      </c>
    </row>
    <row r="188" spans="1:18" s="43" customFormat="1" ht="36" customHeight="1" x14ac:dyDescent="0.35">
      <c r="A188" s="40"/>
      <c r="B188" s="156"/>
      <c r="C188" s="156"/>
      <c r="D188" s="156"/>
      <c r="E188" s="156"/>
      <c r="F188" s="157"/>
      <c r="G188" s="51" t="s">
        <v>4</v>
      </c>
      <c r="H188" s="51"/>
      <c r="I188" s="123"/>
      <c r="J188" s="48">
        <v>600</v>
      </c>
      <c r="K188" s="49">
        <v>867504</v>
      </c>
      <c r="L188" s="49"/>
      <c r="M188" s="225">
        <v>1411368</v>
      </c>
      <c r="N188" s="49"/>
      <c r="O188" s="353">
        <v>1518867</v>
      </c>
      <c r="P188" s="353"/>
      <c r="Q188" s="353">
        <v>1518867</v>
      </c>
      <c r="R188" s="350">
        <f t="shared" si="7"/>
        <v>100</v>
      </c>
    </row>
    <row r="189" spans="1:18" s="43" customFormat="1" ht="49.5" hidden="1" customHeight="1" x14ac:dyDescent="0.35">
      <c r="A189" s="40"/>
      <c r="B189" s="249"/>
      <c r="C189" s="249"/>
      <c r="D189" s="249"/>
      <c r="E189" s="249"/>
      <c r="F189" s="250"/>
      <c r="G189" s="51" t="s">
        <v>550</v>
      </c>
      <c r="H189" s="51"/>
      <c r="I189" s="47" t="s">
        <v>551</v>
      </c>
      <c r="J189" s="48"/>
      <c r="K189" s="49"/>
      <c r="L189" s="49"/>
      <c r="M189" s="225"/>
      <c r="N189" s="49"/>
      <c r="O189" s="353">
        <f t="shared" ref="O189" si="9">O190</f>
        <v>0</v>
      </c>
      <c r="P189" s="355"/>
      <c r="Q189" s="353"/>
      <c r="R189" s="350" t="e">
        <f t="shared" si="7"/>
        <v>#DIV/0!</v>
      </c>
    </row>
    <row r="190" spans="1:18" s="43" customFormat="1" ht="49.5" hidden="1" customHeight="1" x14ac:dyDescent="0.35">
      <c r="A190" s="40"/>
      <c r="B190" s="249"/>
      <c r="C190" s="249"/>
      <c r="D190" s="249"/>
      <c r="E190" s="249"/>
      <c r="F190" s="250"/>
      <c r="G190" s="51" t="s">
        <v>4</v>
      </c>
      <c r="H190" s="51"/>
      <c r="I190" s="123"/>
      <c r="J190" s="48">
        <v>600</v>
      </c>
      <c r="K190" s="49"/>
      <c r="L190" s="49"/>
      <c r="M190" s="225"/>
      <c r="N190" s="49"/>
      <c r="O190" s="353"/>
      <c r="P190" s="355"/>
      <c r="Q190" s="353"/>
      <c r="R190" s="350" t="e">
        <f t="shared" si="7"/>
        <v>#DIV/0!</v>
      </c>
    </row>
    <row r="191" spans="1:18" s="43" customFormat="1" ht="49.5" hidden="1" customHeight="1" x14ac:dyDescent="0.35">
      <c r="A191" s="40"/>
      <c r="B191" s="249"/>
      <c r="C191" s="249"/>
      <c r="D191" s="249"/>
      <c r="E191" s="249"/>
      <c r="F191" s="250"/>
      <c r="G191" s="51" t="s">
        <v>552</v>
      </c>
      <c r="H191" s="51"/>
      <c r="I191" s="47" t="s">
        <v>553</v>
      </c>
      <c r="J191" s="48"/>
      <c r="K191" s="49"/>
      <c r="L191" s="49"/>
      <c r="M191" s="225"/>
      <c r="N191" s="49"/>
      <c r="O191" s="353">
        <f>O192</f>
        <v>0</v>
      </c>
      <c r="P191" s="355"/>
      <c r="Q191" s="353"/>
      <c r="R191" s="350" t="e">
        <f t="shared" si="7"/>
        <v>#DIV/0!</v>
      </c>
    </row>
    <row r="192" spans="1:18" s="43" customFormat="1" ht="49.5" hidden="1" customHeight="1" x14ac:dyDescent="0.35">
      <c r="A192" s="40"/>
      <c r="B192" s="249"/>
      <c r="C192" s="249"/>
      <c r="D192" s="249"/>
      <c r="E192" s="249"/>
      <c r="F192" s="250"/>
      <c r="G192" s="51" t="s">
        <v>4</v>
      </c>
      <c r="H192" s="51"/>
      <c r="I192" s="123"/>
      <c r="J192" s="48">
        <v>600</v>
      </c>
      <c r="K192" s="49"/>
      <c r="L192" s="49"/>
      <c r="M192" s="225"/>
      <c r="N192" s="49"/>
      <c r="O192" s="353"/>
      <c r="P192" s="355"/>
      <c r="Q192" s="353"/>
      <c r="R192" s="350" t="e">
        <f t="shared" si="7"/>
        <v>#DIV/0!</v>
      </c>
    </row>
    <row r="193" spans="1:18" s="43" customFormat="1" ht="49.5" customHeight="1" x14ac:dyDescent="0.35">
      <c r="A193" s="40"/>
      <c r="B193" s="326"/>
      <c r="C193" s="326"/>
      <c r="D193" s="326"/>
      <c r="E193" s="326"/>
      <c r="F193" s="327"/>
      <c r="G193" s="51" t="s">
        <v>708</v>
      </c>
      <c r="H193" s="51"/>
      <c r="I193" s="3" t="s">
        <v>707</v>
      </c>
      <c r="J193" s="48"/>
      <c r="K193" s="49"/>
      <c r="L193" s="49"/>
      <c r="M193" s="225"/>
      <c r="N193" s="49"/>
      <c r="O193" s="353">
        <f>O194</f>
        <v>29500</v>
      </c>
      <c r="P193" s="355"/>
      <c r="Q193" s="353">
        <f>Q194</f>
        <v>29500</v>
      </c>
      <c r="R193" s="350">
        <f t="shared" si="7"/>
        <v>100</v>
      </c>
    </row>
    <row r="194" spans="1:18" s="43" customFormat="1" ht="49.5" customHeight="1" x14ac:dyDescent="0.35">
      <c r="A194" s="40"/>
      <c r="B194" s="326"/>
      <c r="C194" s="326"/>
      <c r="D194" s="326"/>
      <c r="E194" s="326"/>
      <c r="F194" s="327"/>
      <c r="G194" s="51" t="s">
        <v>4</v>
      </c>
      <c r="H194" s="51"/>
      <c r="I194" s="123"/>
      <c r="J194" s="48">
        <v>600</v>
      </c>
      <c r="K194" s="49"/>
      <c r="L194" s="49"/>
      <c r="M194" s="225"/>
      <c r="N194" s="49"/>
      <c r="O194" s="353">
        <v>29500</v>
      </c>
      <c r="P194" s="355"/>
      <c r="Q194" s="353">
        <v>29500</v>
      </c>
      <c r="R194" s="350">
        <f t="shared" si="7"/>
        <v>100</v>
      </c>
    </row>
    <row r="195" spans="1:18" ht="46.5" x14ac:dyDescent="0.35">
      <c r="A195" s="4"/>
      <c r="B195" s="383">
        <v>500</v>
      </c>
      <c r="C195" s="383"/>
      <c r="D195" s="383"/>
      <c r="E195" s="383"/>
      <c r="F195" s="375"/>
      <c r="G195" s="63" t="s">
        <v>185</v>
      </c>
      <c r="H195" s="63"/>
      <c r="I195" s="64" t="s">
        <v>184</v>
      </c>
      <c r="J195" s="48"/>
      <c r="K195" s="49" t="e">
        <f>#REF!+K196++K198+K201+K203+K207+K209</f>
        <v>#REF!</v>
      </c>
      <c r="L195" s="49" t="e">
        <f>#REF!+L196++L198+L201+L203+L207</f>
        <v>#REF!</v>
      </c>
      <c r="M195" s="225" t="e">
        <f>#REF!+M196++M198+M201+M203+M207</f>
        <v>#REF!</v>
      </c>
      <c r="N195" s="49" t="e">
        <f>#REF!+N196++N198+N201+N203+N207+N209</f>
        <v>#REF!</v>
      </c>
      <c r="O195" s="355">
        <f>O196++O198+O201+O203+O207+O209</f>
        <v>48923797</v>
      </c>
      <c r="P195" s="353"/>
      <c r="Q195" s="353">
        <f>Q196++Q198+Q201+Q203+Q207+Q209</f>
        <v>48486643.109999999</v>
      </c>
      <c r="R195" s="350">
        <f t="shared" si="7"/>
        <v>99.106459602879966</v>
      </c>
    </row>
    <row r="196" spans="1:18" s="43" customFormat="1" ht="77.5" x14ac:dyDescent="0.35">
      <c r="A196" s="40"/>
      <c r="B196" s="393">
        <v>500</v>
      </c>
      <c r="C196" s="393"/>
      <c r="D196" s="393"/>
      <c r="E196" s="393"/>
      <c r="F196" s="394"/>
      <c r="G196" s="51" t="s">
        <v>393</v>
      </c>
      <c r="H196" s="51"/>
      <c r="I196" s="47" t="s">
        <v>186</v>
      </c>
      <c r="J196" s="48" t="s">
        <v>0</v>
      </c>
      <c r="K196" s="49">
        <f t="shared" ref="K196:Q196" si="10">K197</f>
        <v>1601530</v>
      </c>
      <c r="L196" s="49">
        <f t="shared" si="10"/>
        <v>0</v>
      </c>
      <c r="M196" s="225">
        <f t="shared" si="10"/>
        <v>1601530</v>
      </c>
      <c r="N196" s="49">
        <f t="shared" si="10"/>
        <v>0</v>
      </c>
      <c r="O196" s="355">
        <f t="shared" si="10"/>
        <v>1714740</v>
      </c>
      <c r="P196" s="353"/>
      <c r="Q196" s="353">
        <f t="shared" si="10"/>
        <v>1578990.32</v>
      </c>
      <c r="R196" s="350">
        <f t="shared" si="7"/>
        <v>92.083366574524419</v>
      </c>
    </row>
    <row r="197" spans="1:18" s="43" customFormat="1" ht="46.5" x14ac:dyDescent="0.35">
      <c r="A197" s="40"/>
      <c r="B197" s="386" t="s">
        <v>45</v>
      </c>
      <c r="C197" s="386"/>
      <c r="D197" s="386"/>
      <c r="E197" s="386"/>
      <c r="F197" s="387"/>
      <c r="G197" s="51" t="s">
        <v>4</v>
      </c>
      <c r="H197" s="51"/>
      <c r="I197" s="47" t="s">
        <v>0</v>
      </c>
      <c r="J197" s="48">
        <v>600</v>
      </c>
      <c r="K197" s="49">
        <v>1601530</v>
      </c>
      <c r="L197" s="49"/>
      <c r="M197" s="225">
        <f>K197+L197</f>
        <v>1601530</v>
      </c>
      <c r="N197" s="49"/>
      <c r="O197" s="355">
        <f>2000442-285702</f>
        <v>1714740</v>
      </c>
      <c r="P197" s="353"/>
      <c r="Q197" s="353">
        <v>1578990.32</v>
      </c>
      <c r="R197" s="350">
        <f t="shared" si="7"/>
        <v>92.083366574524419</v>
      </c>
    </row>
    <row r="198" spans="1:18" s="43" customFormat="1" ht="46.5" x14ac:dyDescent="0.35">
      <c r="A198" s="40"/>
      <c r="B198" s="386" t="s">
        <v>44</v>
      </c>
      <c r="C198" s="386"/>
      <c r="D198" s="386"/>
      <c r="E198" s="386"/>
      <c r="F198" s="387"/>
      <c r="G198" s="51" t="s">
        <v>81</v>
      </c>
      <c r="H198" s="51"/>
      <c r="I198" s="47" t="s">
        <v>187</v>
      </c>
      <c r="J198" s="48" t="s">
        <v>0</v>
      </c>
      <c r="K198" s="49">
        <f>K200+K199</f>
        <v>9484600</v>
      </c>
      <c r="L198" s="49"/>
      <c r="M198" s="225">
        <f>M200+M199</f>
        <v>10746696</v>
      </c>
      <c r="N198" s="49">
        <f>N200+N199</f>
        <v>0</v>
      </c>
      <c r="O198" s="355">
        <f>O200+O199</f>
        <v>7850116</v>
      </c>
      <c r="P198" s="353"/>
      <c r="Q198" s="353">
        <f>Q200+Q199</f>
        <v>7850114.6499999994</v>
      </c>
      <c r="R198" s="350">
        <f t="shared" si="7"/>
        <v>99.999982802801895</v>
      </c>
    </row>
    <row r="199" spans="1:18" s="43" customFormat="1" ht="31" x14ac:dyDescent="0.35">
      <c r="A199" s="40"/>
      <c r="B199" s="393">
        <v>500</v>
      </c>
      <c r="C199" s="393"/>
      <c r="D199" s="393"/>
      <c r="E199" s="393"/>
      <c r="F199" s="394"/>
      <c r="G199" s="51" t="s">
        <v>2</v>
      </c>
      <c r="H199" s="51"/>
      <c r="I199" s="47"/>
      <c r="J199" s="48">
        <v>200</v>
      </c>
      <c r="K199" s="49">
        <v>24301</v>
      </c>
      <c r="L199" s="49"/>
      <c r="M199" s="225">
        <v>27453</v>
      </c>
      <c r="N199" s="49"/>
      <c r="O199" s="353">
        <f>21496-19995.36</f>
        <v>1500.6399999999994</v>
      </c>
      <c r="P199" s="353"/>
      <c r="Q199" s="353">
        <v>1500.64</v>
      </c>
      <c r="R199" s="350">
        <f t="shared" si="7"/>
        <v>100.00000000000004</v>
      </c>
    </row>
    <row r="200" spans="1:18" s="43" customFormat="1" ht="31" x14ac:dyDescent="0.35">
      <c r="A200" s="40"/>
      <c r="B200" s="386" t="s">
        <v>43</v>
      </c>
      <c r="C200" s="386"/>
      <c r="D200" s="386"/>
      <c r="E200" s="386"/>
      <c r="F200" s="387"/>
      <c r="G200" s="51" t="s">
        <v>5</v>
      </c>
      <c r="H200" s="51"/>
      <c r="I200" s="47" t="s">
        <v>0</v>
      </c>
      <c r="J200" s="48">
        <v>300</v>
      </c>
      <c r="K200" s="49">
        <v>9460299</v>
      </c>
      <c r="L200" s="49"/>
      <c r="M200" s="225">
        <f>1918057+3572649+5228537</f>
        <v>10719243</v>
      </c>
      <c r="N200" s="49"/>
      <c r="O200" s="353">
        <f>8353021-504405.64</f>
        <v>7848615.3600000003</v>
      </c>
      <c r="P200" s="353"/>
      <c r="Q200" s="353">
        <v>7848614.0099999998</v>
      </c>
      <c r="R200" s="350">
        <f t="shared" si="7"/>
        <v>99.999982799513816</v>
      </c>
    </row>
    <row r="201" spans="1:18" s="43" customFormat="1" ht="62" x14ac:dyDescent="0.35">
      <c r="A201" s="40"/>
      <c r="B201" s="41"/>
      <c r="C201" s="41"/>
      <c r="D201" s="41"/>
      <c r="E201" s="41"/>
      <c r="F201" s="42"/>
      <c r="G201" s="51" t="s">
        <v>178</v>
      </c>
      <c r="H201" s="51"/>
      <c r="I201" s="47" t="s">
        <v>188</v>
      </c>
      <c r="J201" s="48" t="s">
        <v>0</v>
      </c>
      <c r="K201" s="49">
        <f>K202</f>
        <v>23664700</v>
      </c>
      <c r="L201" s="49"/>
      <c r="M201" s="225">
        <f>M202</f>
        <v>18621145</v>
      </c>
      <c r="N201" s="49">
        <f>N202</f>
        <v>0</v>
      </c>
      <c r="O201" s="355">
        <f>O202</f>
        <v>29136735</v>
      </c>
      <c r="P201" s="353"/>
      <c r="Q201" s="353">
        <f>Q202</f>
        <v>29136735</v>
      </c>
      <c r="R201" s="350">
        <f t="shared" si="7"/>
        <v>100</v>
      </c>
    </row>
    <row r="202" spans="1:18" s="43" customFormat="1" ht="46.5" x14ac:dyDescent="0.35">
      <c r="A202" s="40"/>
      <c r="B202" s="41"/>
      <c r="C202" s="41"/>
      <c r="D202" s="41"/>
      <c r="E202" s="41"/>
      <c r="F202" s="42"/>
      <c r="G202" s="51" t="s">
        <v>4</v>
      </c>
      <c r="H202" s="51"/>
      <c r="I202" s="47" t="s">
        <v>0</v>
      </c>
      <c r="J202" s="48">
        <v>600</v>
      </c>
      <c r="K202" s="49">
        <v>23664700</v>
      </c>
      <c r="L202" s="49"/>
      <c r="M202" s="225">
        <v>18621145</v>
      </c>
      <c r="N202" s="49"/>
      <c r="O202" s="353">
        <f>29091745+44990</f>
        <v>29136735</v>
      </c>
      <c r="P202" s="353"/>
      <c r="Q202" s="353">
        <v>29136735</v>
      </c>
      <c r="R202" s="350">
        <f t="shared" si="7"/>
        <v>100</v>
      </c>
    </row>
    <row r="203" spans="1:18" s="43" customFormat="1" ht="31" x14ac:dyDescent="0.35">
      <c r="A203" s="40"/>
      <c r="B203" s="386" t="s">
        <v>42</v>
      </c>
      <c r="C203" s="386"/>
      <c r="D203" s="386"/>
      <c r="E203" s="386"/>
      <c r="F203" s="387"/>
      <c r="G203" s="51" t="s">
        <v>82</v>
      </c>
      <c r="H203" s="51"/>
      <c r="I203" s="47" t="s">
        <v>189</v>
      </c>
      <c r="J203" s="48" t="s">
        <v>0</v>
      </c>
      <c r="K203" s="49">
        <f>K205+K204</f>
        <v>1479350</v>
      </c>
      <c r="L203" s="49"/>
      <c r="M203" s="225">
        <f>M205+M204</f>
        <v>1201635</v>
      </c>
      <c r="N203" s="49">
        <f>N205+N204</f>
        <v>0</v>
      </c>
      <c r="O203" s="355">
        <f>O205+O204+O206</f>
        <v>1459444</v>
      </c>
      <c r="P203" s="353"/>
      <c r="Q203" s="353">
        <f>Q205+Q204+Q206</f>
        <v>1459442.3699999999</v>
      </c>
      <c r="R203" s="350">
        <f t="shared" si="7"/>
        <v>99.999888313631757</v>
      </c>
    </row>
    <row r="204" spans="1:18" s="43" customFormat="1" ht="31" x14ac:dyDescent="0.35">
      <c r="A204" s="40"/>
      <c r="B204" s="41"/>
      <c r="C204" s="41"/>
      <c r="D204" s="41"/>
      <c r="E204" s="41"/>
      <c r="F204" s="42"/>
      <c r="G204" s="51" t="s">
        <v>2</v>
      </c>
      <c r="H204" s="51"/>
      <c r="I204" s="47"/>
      <c r="J204" s="48">
        <v>200</v>
      </c>
      <c r="K204" s="49">
        <v>4040</v>
      </c>
      <c r="L204" s="49"/>
      <c r="M204" s="225">
        <v>3146</v>
      </c>
      <c r="N204" s="49"/>
      <c r="O204" s="353">
        <f>4084-970</f>
        <v>3114</v>
      </c>
      <c r="P204" s="353"/>
      <c r="Q204" s="353">
        <v>3018.99</v>
      </c>
      <c r="R204" s="350">
        <f t="shared" si="7"/>
        <v>96.9489402697495</v>
      </c>
    </row>
    <row r="205" spans="1:18" s="43" customFormat="1" ht="31" x14ac:dyDescent="0.35">
      <c r="A205" s="40"/>
      <c r="B205" s="41"/>
      <c r="C205" s="41"/>
      <c r="D205" s="41"/>
      <c r="E205" s="41"/>
      <c r="F205" s="42"/>
      <c r="G205" s="51" t="s">
        <v>5</v>
      </c>
      <c r="H205" s="51"/>
      <c r="I205" s="47" t="s">
        <v>0</v>
      </c>
      <c r="J205" s="48">
        <v>300</v>
      </c>
      <c r="K205" s="49">
        <v>1475310</v>
      </c>
      <c r="L205" s="49"/>
      <c r="M205" s="225">
        <v>1198489</v>
      </c>
      <c r="N205" s="49"/>
      <c r="O205" s="353">
        <f>1625571-491810</f>
        <v>1133761</v>
      </c>
      <c r="P205" s="353"/>
      <c r="Q205" s="353">
        <v>1133854.3799999999</v>
      </c>
      <c r="R205" s="350">
        <f t="shared" ref="R205:R257" si="11">Q205/O205*100</f>
        <v>100.00823630377124</v>
      </c>
    </row>
    <row r="206" spans="1:18" s="43" customFormat="1" ht="46.5" x14ac:dyDescent="0.35">
      <c r="A206" s="40"/>
      <c r="B206" s="332"/>
      <c r="C206" s="332"/>
      <c r="D206" s="332"/>
      <c r="E206" s="332"/>
      <c r="F206" s="333"/>
      <c r="G206" s="51" t="s">
        <v>4</v>
      </c>
      <c r="H206" s="14"/>
      <c r="I206" s="3"/>
      <c r="J206" s="204">
        <v>600</v>
      </c>
      <c r="K206" s="207"/>
      <c r="L206" s="299"/>
      <c r="M206" s="248"/>
      <c r="N206" s="238"/>
      <c r="O206" s="353">
        <f>327742-5173</f>
        <v>322569</v>
      </c>
      <c r="P206" s="353"/>
      <c r="Q206" s="353">
        <v>322569</v>
      </c>
      <c r="R206" s="350">
        <f t="shared" si="11"/>
        <v>100</v>
      </c>
    </row>
    <row r="207" spans="1:18" s="43" customFormat="1" ht="31" x14ac:dyDescent="0.35">
      <c r="A207" s="40"/>
      <c r="B207" s="395" t="s">
        <v>41</v>
      </c>
      <c r="C207" s="395"/>
      <c r="D207" s="395"/>
      <c r="E207" s="395"/>
      <c r="F207" s="396"/>
      <c r="G207" s="51" t="s">
        <v>394</v>
      </c>
      <c r="H207" s="51"/>
      <c r="I207" s="47" t="s">
        <v>190</v>
      </c>
      <c r="J207" s="48" t="s">
        <v>0</v>
      </c>
      <c r="K207" s="49">
        <f t="shared" ref="K207:Q207" si="12">K208</f>
        <v>5135737</v>
      </c>
      <c r="L207" s="49">
        <f t="shared" si="12"/>
        <v>0</v>
      </c>
      <c r="M207" s="225">
        <f t="shared" si="12"/>
        <v>5135737</v>
      </c>
      <c r="N207" s="49">
        <f t="shared" si="12"/>
        <v>0</v>
      </c>
      <c r="O207" s="355">
        <f t="shared" si="12"/>
        <v>4684054</v>
      </c>
      <c r="P207" s="353"/>
      <c r="Q207" s="353">
        <f t="shared" si="12"/>
        <v>4503031.7699999996</v>
      </c>
      <c r="R207" s="350">
        <f t="shared" si="11"/>
        <v>96.135351343088686</v>
      </c>
    </row>
    <row r="208" spans="1:18" s="43" customFormat="1" ht="46.5" x14ac:dyDescent="0.35">
      <c r="A208" s="40"/>
      <c r="B208" s="80"/>
      <c r="C208" s="80"/>
      <c r="D208" s="80"/>
      <c r="E208" s="80"/>
      <c r="F208" s="81"/>
      <c r="G208" s="51" t="s">
        <v>4</v>
      </c>
      <c r="H208" s="51"/>
      <c r="I208" s="47" t="s">
        <v>0</v>
      </c>
      <c r="J208" s="48">
        <v>600</v>
      </c>
      <c r="K208" s="49">
        <v>5135737</v>
      </c>
      <c r="L208" s="49"/>
      <c r="M208" s="225">
        <f>K208+L208</f>
        <v>5135737</v>
      </c>
      <c r="N208" s="49"/>
      <c r="O208" s="353">
        <f>5757147-1073093</f>
        <v>4684054</v>
      </c>
      <c r="P208" s="353"/>
      <c r="Q208" s="353">
        <v>4503031.7699999996</v>
      </c>
      <c r="R208" s="350">
        <f t="shared" si="11"/>
        <v>96.135351343088686</v>
      </c>
    </row>
    <row r="209" spans="1:18" s="43" customFormat="1" ht="62" x14ac:dyDescent="0.35">
      <c r="A209" s="40"/>
      <c r="B209" s="210"/>
      <c r="C209" s="210"/>
      <c r="D209" s="210"/>
      <c r="E209" s="210"/>
      <c r="F209" s="211"/>
      <c r="G209" s="51" t="s">
        <v>504</v>
      </c>
      <c r="H209" s="51"/>
      <c r="I209" s="47" t="s">
        <v>503</v>
      </c>
      <c r="J209" s="206"/>
      <c r="K209" s="212">
        <f>K210</f>
        <v>3192507</v>
      </c>
      <c r="L209" s="49"/>
      <c r="M209" s="225"/>
      <c r="N209" s="49">
        <f>N210</f>
        <v>0</v>
      </c>
      <c r="O209" s="355">
        <f>O210</f>
        <v>4078708</v>
      </c>
      <c r="P209" s="353"/>
      <c r="Q209" s="353">
        <f>Q210</f>
        <v>3958329</v>
      </c>
      <c r="R209" s="350">
        <f t="shared" si="11"/>
        <v>97.048599703631638</v>
      </c>
    </row>
    <row r="210" spans="1:18" s="43" customFormat="1" ht="46.5" x14ac:dyDescent="0.35">
      <c r="A210" s="40"/>
      <c r="B210" s="210"/>
      <c r="C210" s="210"/>
      <c r="D210" s="210"/>
      <c r="E210" s="210"/>
      <c r="F210" s="211"/>
      <c r="G210" s="51" t="s">
        <v>4</v>
      </c>
      <c r="H210" s="51"/>
      <c r="I210" s="3"/>
      <c r="J210" s="206">
        <v>600</v>
      </c>
      <c r="K210" s="212">
        <v>3192507</v>
      </c>
      <c r="L210" s="49"/>
      <c r="M210" s="225"/>
      <c r="N210" s="49"/>
      <c r="O210" s="353">
        <f>4190344-111636</f>
        <v>4078708</v>
      </c>
      <c r="P210" s="353"/>
      <c r="Q210" s="353">
        <v>3958329</v>
      </c>
      <c r="R210" s="350">
        <f t="shared" si="11"/>
        <v>97.048599703631638</v>
      </c>
    </row>
    <row r="211" spans="1:18" s="43" customFormat="1" ht="31" x14ac:dyDescent="0.35">
      <c r="A211" s="40"/>
      <c r="B211" s="218"/>
      <c r="C211" s="218"/>
      <c r="D211" s="218"/>
      <c r="E211" s="218"/>
      <c r="F211" s="219"/>
      <c r="G211" s="63" t="s">
        <v>711</v>
      </c>
      <c r="H211" s="51"/>
      <c r="I211" s="203" t="s">
        <v>709</v>
      </c>
      <c r="J211" s="206"/>
      <c r="K211" s="212">
        <f>K212+K214</f>
        <v>2739210</v>
      </c>
      <c r="L211" s="49"/>
      <c r="M211" s="225"/>
      <c r="N211" s="49">
        <f>N212+N214</f>
        <v>0</v>
      </c>
      <c r="O211" s="355">
        <f>O214+O216</f>
        <v>95117</v>
      </c>
      <c r="P211" s="353"/>
      <c r="Q211" s="353">
        <f>Q214+Q216</f>
        <v>95116.67</v>
      </c>
      <c r="R211" s="350">
        <f t="shared" si="11"/>
        <v>99.99965305886434</v>
      </c>
    </row>
    <row r="212" spans="1:18" s="43" customFormat="1" ht="46.5" hidden="1" x14ac:dyDescent="0.35">
      <c r="A212" s="40"/>
      <c r="B212" s="218"/>
      <c r="C212" s="218"/>
      <c r="D212" s="218"/>
      <c r="E212" s="218"/>
      <c r="F212" s="219"/>
      <c r="G212" s="200" t="s">
        <v>533</v>
      </c>
      <c r="H212" s="51"/>
      <c r="I212" s="3" t="s">
        <v>532</v>
      </c>
      <c r="J212" s="206"/>
      <c r="K212" s="212">
        <f>K213</f>
        <v>1000000</v>
      </c>
      <c r="L212" s="49"/>
      <c r="M212" s="225"/>
      <c r="N212" s="49">
        <f>N213</f>
        <v>0</v>
      </c>
      <c r="O212" s="355">
        <f>O213</f>
        <v>0</v>
      </c>
      <c r="P212" s="353"/>
      <c r="Q212" s="353">
        <f>Q213</f>
        <v>0</v>
      </c>
      <c r="R212" s="350" t="e">
        <f t="shared" si="11"/>
        <v>#DIV/0!</v>
      </c>
    </row>
    <row r="213" spans="1:18" s="43" customFormat="1" ht="31" hidden="1" x14ac:dyDescent="0.35">
      <c r="A213" s="40"/>
      <c r="B213" s="218"/>
      <c r="C213" s="218"/>
      <c r="D213" s="218"/>
      <c r="E213" s="218"/>
      <c r="F213" s="219"/>
      <c r="G213" s="51" t="s">
        <v>4</v>
      </c>
      <c r="H213" s="51"/>
      <c r="I213" s="3"/>
      <c r="J213" s="206">
        <v>600</v>
      </c>
      <c r="K213" s="212">
        <v>1000000</v>
      </c>
      <c r="L213" s="49"/>
      <c r="M213" s="225"/>
      <c r="N213" s="49"/>
      <c r="O213" s="355"/>
      <c r="P213" s="353"/>
      <c r="Q213" s="353"/>
      <c r="R213" s="350" t="e">
        <f t="shared" si="11"/>
        <v>#DIV/0!</v>
      </c>
    </row>
    <row r="214" spans="1:18" s="43" customFormat="1" ht="62.25" customHeight="1" x14ac:dyDescent="0.35">
      <c r="A214" s="40"/>
      <c r="B214" s="218"/>
      <c r="C214" s="218"/>
      <c r="D214" s="218"/>
      <c r="E214" s="218"/>
      <c r="F214" s="219"/>
      <c r="G214" s="334" t="s">
        <v>712</v>
      </c>
      <c r="H214" s="51"/>
      <c r="I214" s="3" t="s">
        <v>710</v>
      </c>
      <c r="J214" s="206"/>
      <c r="K214" s="212">
        <f>K215</f>
        <v>1739210</v>
      </c>
      <c r="L214" s="49"/>
      <c r="M214" s="225"/>
      <c r="N214" s="49">
        <f>N215</f>
        <v>0</v>
      </c>
      <c r="O214" s="355">
        <f>O215</f>
        <v>95117</v>
      </c>
      <c r="P214" s="353"/>
      <c r="Q214" s="353">
        <f>Q215</f>
        <v>95116.67</v>
      </c>
      <c r="R214" s="350">
        <f t="shared" si="11"/>
        <v>99.99965305886434</v>
      </c>
    </row>
    <row r="215" spans="1:18" s="43" customFormat="1" ht="46.5" x14ac:dyDescent="0.35">
      <c r="A215" s="40"/>
      <c r="B215" s="218"/>
      <c r="C215" s="218"/>
      <c r="D215" s="218"/>
      <c r="E215" s="218"/>
      <c r="F215" s="219"/>
      <c r="G215" s="51" t="s">
        <v>4</v>
      </c>
      <c r="H215" s="51"/>
      <c r="I215" s="3"/>
      <c r="J215" s="206">
        <v>600</v>
      </c>
      <c r="K215" s="212">
        <v>1739210</v>
      </c>
      <c r="L215" s="49"/>
      <c r="M215" s="225"/>
      <c r="N215" s="49">
        <v>0</v>
      </c>
      <c r="O215" s="355">
        <v>95117</v>
      </c>
      <c r="P215" s="353"/>
      <c r="Q215" s="353">
        <v>95116.67</v>
      </c>
      <c r="R215" s="350">
        <f t="shared" si="11"/>
        <v>99.99965305886434</v>
      </c>
    </row>
    <row r="216" spans="1:18" s="43" customFormat="1" ht="46.5" hidden="1" x14ac:dyDescent="0.35">
      <c r="A216" s="40"/>
      <c r="B216" s="262"/>
      <c r="C216" s="262"/>
      <c r="D216" s="262"/>
      <c r="E216" s="262"/>
      <c r="F216" s="263"/>
      <c r="G216" s="51" t="s">
        <v>576</v>
      </c>
      <c r="H216" s="51"/>
      <c r="I216" s="3" t="s">
        <v>573</v>
      </c>
      <c r="J216" s="206"/>
      <c r="K216" s="212"/>
      <c r="L216" s="49"/>
      <c r="M216" s="225"/>
      <c r="N216" s="49"/>
      <c r="O216" s="355">
        <f>O217</f>
        <v>0</v>
      </c>
      <c r="P216" s="353"/>
      <c r="Q216" s="353"/>
      <c r="R216" s="350" t="e">
        <f t="shared" si="11"/>
        <v>#DIV/0!</v>
      </c>
    </row>
    <row r="217" spans="1:18" s="43" customFormat="1" ht="31" hidden="1" x14ac:dyDescent="0.35">
      <c r="A217" s="40"/>
      <c r="B217" s="262"/>
      <c r="C217" s="262"/>
      <c r="D217" s="262"/>
      <c r="E217" s="262"/>
      <c r="F217" s="263"/>
      <c r="G217" s="51" t="s">
        <v>4</v>
      </c>
      <c r="H217" s="51"/>
      <c r="I217" s="3"/>
      <c r="J217" s="206">
        <v>600</v>
      </c>
      <c r="K217" s="212"/>
      <c r="L217" s="49"/>
      <c r="M217" s="225"/>
      <c r="N217" s="49"/>
      <c r="O217" s="353"/>
      <c r="P217" s="353"/>
      <c r="Q217" s="353"/>
      <c r="R217" s="350" t="e">
        <f t="shared" si="11"/>
        <v>#DIV/0!</v>
      </c>
    </row>
    <row r="218" spans="1:18" s="43" customFormat="1" ht="46.5" x14ac:dyDescent="0.35">
      <c r="A218" s="40"/>
      <c r="B218" s="262"/>
      <c r="C218" s="262"/>
      <c r="D218" s="262"/>
      <c r="E218" s="262"/>
      <c r="F218" s="263"/>
      <c r="G218" s="51" t="s">
        <v>578</v>
      </c>
      <c r="H218" s="51"/>
      <c r="I218" s="203" t="s">
        <v>574</v>
      </c>
      <c r="J218" s="206"/>
      <c r="K218" s="212"/>
      <c r="L218" s="49"/>
      <c r="M218" s="225"/>
      <c r="N218" s="49"/>
      <c r="O218" s="355">
        <f>O219</f>
        <v>1000000</v>
      </c>
      <c r="P218" s="353"/>
      <c r="Q218" s="353">
        <f>Q219</f>
        <v>999777</v>
      </c>
      <c r="R218" s="350">
        <f t="shared" si="11"/>
        <v>99.977699999999999</v>
      </c>
    </row>
    <row r="219" spans="1:18" s="43" customFormat="1" ht="62" x14ac:dyDescent="0.35">
      <c r="A219" s="40"/>
      <c r="B219" s="262"/>
      <c r="C219" s="262"/>
      <c r="D219" s="262"/>
      <c r="E219" s="262"/>
      <c r="F219" s="263"/>
      <c r="G219" s="51" t="s">
        <v>577</v>
      </c>
      <c r="H219" s="51"/>
      <c r="I219" s="47" t="s">
        <v>575</v>
      </c>
      <c r="J219" s="206"/>
      <c r="K219" s="212"/>
      <c r="L219" s="49"/>
      <c r="M219" s="225"/>
      <c r="N219" s="49"/>
      <c r="O219" s="355">
        <f>O220</f>
        <v>1000000</v>
      </c>
      <c r="P219" s="353"/>
      <c r="Q219" s="353">
        <f>Q220</f>
        <v>999777</v>
      </c>
      <c r="R219" s="350">
        <f t="shared" si="11"/>
        <v>99.977699999999999</v>
      </c>
    </row>
    <row r="220" spans="1:18" s="43" customFormat="1" ht="46.5" x14ac:dyDescent="0.35">
      <c r="A220" s="40"/>
      <c r="B220" s="262"/>
      <c r="C220" s="262"/>
      <c r="D220" s="262"/>
      <c r="E220" s="262"/>
      <c r="F220" s="263"/>
      <c r="G220" s="51" t="s">
        <v>4</v>
      </c>
      <c r="H220" s="51"/>
      <c r="I220" s="3"/>
      <c r="J220" s="206">
        <v>600</v>
      </c>
      <c r="K220" s="212"/>
      <c r="L220" s="49"/>
      <c r="M220" s="225"/>
      <c r="N220" s="49"/>
      <c r="O220" s="355">
        <v>1000000</v>
      </c>
      <c r="P220" s="353"/>
      <c r="Q220" s="353">
        <v>999777</v>
      </c>
      <c r="R220" s="350">
        <f t="shared" si="11"/>
        <v>99.977699999999999</v>
      </c>
    </row>
    <row r="221" spans="1:18" s="43" customFormat="1" ht="31" x14ac:dyDescent="0.35">
      <c r="A221" s="40"/>
      <c r="B221" s="268"/>
      <c r="C221" s="268"/>
      <c r="D221" s="268"/>
      <c r="E221" s="268"/>
      <c r="F221" s="269"/>
      <c r="G221" s="202" t="s">
        <v>497</v>
      </c>
      <c r="H221" s="51"/>
      <c r="I221" s="203" t="s">
        <v>580</v>
      </c>
      <c r="J221" s="206"/>
      <c r="K221" s="212"/>
      <c r="L221" s="49"/>
      <c r="M221" s="225"/>
      <c r="N221" s="49"/>
      <c r="O221" s="355">
        <f>O222+O224</f>
        <v>1715025</v>
      </c>
      <c r="P221" s="353"/>
      <c r="Q221" s="353">
        <f>Q222+Q224</f>
        <v>1715024.95</v>
      </c>
      <c r="R221" s="350">
        <f t="shared" si="11"/>
        <v>99.999997084590603</v>
      </c>
    </row>
    <row r="222" spans="1:18" s="43" customFormat="1" ht="62" x14ac:dyDescent="0.35">
      <c r="A222" s="40"/>
      <c r="B222" s="268"/>
      <c r="C222" s="268"/>
      <c r="D222" s="268"/>
      <c r="E222" s="268"/>
      <c r="F222" s="269"/>
      <c r="G222" s="200" t="s">
        <v>533</v>
      </c>
      <c r="H222" s="51"/>
      <c r="I222" s="3" t="s">
        <v>532</v>
      </c>
      <c r="J222" s="206"/>
      <c r="K222" s="212"/>
      <c r="L222" s="49"/>
      <c r="M222" s="225"/>
      <c r="N222" s="49"/>
      <c r="O222" s="355">
        <f>O223</f>
        <v>1000000</v>
      </c>
      <c r="P222" s="353"/>
      <c r="Q222" s="353">
        <f>Q223</f>
        <v>1000000</v>
      </c>
      <c r="R222" s="350">
        <f t="shared" si="11"/>
        <v>100</v>
      </c>
    </row>
    <row r="223" spans="1:18" s="43" customFormat="1" ht="46.5" x14ac:dyDescent="0.35">
      <c r="A223" s="40"/>
      <c r="B223" s="268"/>
      <c r="C223" s="268"/>
      <c r="D223" s="268"/>
      <c r="E223" s="268"/>
      <c r="F223" s="269"/>
      <c r="G223" s="51" t="s">
        <v>4</v>
      </c>
      <c r="H223" s="51"/>
      <c r="I223" s="3"/>
      <c r="J223" s="206">
        <v>600</v>
      </c>
      <c r="K223" s="212"/>
      <c r="L223" s="49"/>
      <c r="M223" s="225"/>
      <c r="N223" s="49"/>
      <c r="O223" s="355">
        <v>1000000</v>
      </c>
      <c r="P223" s="353"/>
      <c r="Q223" s="353">
        <v>1000000</v>
      </c>
      <c r="R223" s="350">
        <f t="shared" si="11"/>
        <v>100</v>
      </c>
    </row>
    <row r="224" spans="1:18" s="43" customFormat="1" ht="77.5" x14ac:dyDescent="0.35">
      <c r="A224" s="40"/>
      <c r="B224" s="268"/>
      <c r="C224" s="268"/>
      <c r="D224" s="268"/>
      <c r="E224" s="268"/>
      <c r="F224" s="269"/>
      <c r="G224" s="200" t="s">
        <v>582</v>
      </c>
      <c r="H224" s="51"/>
      <c r="I224" s="3" t="s">
        <v>581</v>
      </c>
      <c r="J224" s="206"/>
      <c r="K224" s="212"/>
      <c r="L224" s="49"/>
      <c r="M224" s="225"/>
      <c r="N224" s="49"/>
      <c r="O224" s="355">
        <f>O225</f>
        <v>715025</v>
      </c>
      <c r="P224" s="353"/>
      <c r="Q224" s="353">
        <f>Q225</f>
        <v>715024.95</v>
      </c>
      <c r="R224" s="350">
        <f t="shared" si="11"/>
        <v>99.999993007237492</v>
      </c>
    </row>
    <row r="225" spans="1:18" s="43" customFormat="1" ht="46.5" x14ac:dyDescent="0.35">
      <c r="A225" s="40"/>
      <c r="B225" s="268"/>
      <c r="C225" s="268"/>
      <c r="D225" s="268"/>
      <c r="E225" s="268"/>
      <c r="F225" s="269"/>
      <c r="G225" s="51" t="s">
        <v>4</v>
      </c>
      <c r="H225" s="51"/>
      <c r="I225" s="3"/>
      <c r="J225" s="206">
        <v>600</v>
      </c>
      <c r="K225" s="212"/>
      <c r="L225" s="49"/>
      <c r="M225" s="225"/>
      <c r="N225" s="49"/>
      <c r="O225" s="353">
        <v>715025</v>
      </c>
      <c r="P225" s="353"/>
      <c r="Q225" s="353">
        <v>715024.95</v>
      </c>
      <c r="R225" s="350">
        <f t="shared" si="11"/>
        <v>99.999993007237492</v>
      </c>
    </row>
    <row r="226" spans="1:18" ht="60" x14ac:dyDescent="0.35">
      <c r="A226" s="4"/>
      <c r="B226" s="17"/>
      <c r="C226" s="17"/>
      <c r="D226" s="17"/>
      <c r="E226" s="17"/>
      <c r="F226" s="18"/>
      <c r="G226" s="303" t="s">
        <v>641</v>
      </c>
      <c r="H226" s="108"/>
      <c r="I226" s="60" t="s">
        <v>212</v>
      </c>
      <c r="J226" s="109"/>
      <c r="K226" s="110" t="e">
        <f t="shared" ref="K226:Q227" si="13">K227</f>
        <v>#REF!</v>
      </c>
      <c r="L226" s="110" t="e">
        <f t="shared" si="13"/>
        <v>#REF!</v>
      </c>
      <c r="M226" s="222" t="e">
        <f t="shared" si="13"/>
        <v>#REF!</v>
      </c>
      <c r="N226" s="110" t="e">
        <f t="shared" si="13"/>
        <v>#REF!</v>
      </c>
      <c r="O226" s="354">
        <f t="shared" si="13"/>
        <v>3163741</v>
      </c>
      <c r="P226" s="352"/>
      <c r="Q226" s="353">
        <f t="shared" si="13"/>
        <v>3151160.99</v>
      </c>
      <c r="R226" s="350">
        <f t="shared" si="11"/>
        <v>99.602369157273003</v>
      </c>
    </row>
    <row r="227" spans="1:18" ht="62" x14ac:dyDescent="0.35">
      <c r="A227" s="4"/>
      <c r="B227" s="17"/>
      <c r="C227" s="17"/>
      <c r="D227" s="17"/>
      <c r="E227" s="17"/>
      <c r="F227" s="18"/>
      <c r="G227" s="304" t="s">
        <v>642</v>
      </c>
      <c r="H227" s="111"/>
      <c r="I227" s="47" t="s">
        <v>213</v>
      </c>
      <c r="J227" s="112"/>
      <c r="K227" s="113" t="e">
        <f t="shared" si="13"/>
        <v>#REF!</v>
      </c>
      <c r="L227" s="113" t="e">
        <f t="shared" si="13"/>
        <v>#REF!</v>
      </c>
      <c r="M227" s="223" t="e">
        <f t="shared" si="13"/>
        <v>#REF!</v>
      </c>
      <c r="N227" s="113" t="e">
        <f t="shared" si="13"/>
        <v>#REF!</v>
      </c>
      <c r="O227" s="355">
        <f t="shared" si="13"/>
        <v>3163741</v>
      </c>
      <c r="P227" s="353"/>
      <c r="Q227" s="353">
        <f t="shared" si="13"/>
        <v>3151160.99</v>
      </c>
      <c r="R227" s="350">
        <f t="shared" si="11"/>
        <v>99.602369157273003</v>
      </c>
    </row>
    <row r="228" spans="1:18" s="56" customFormat="1" ht="46.5" x14ac:dyDescent="0.35">
      <c r="A228" s="53"/>
      <c r="B228" s="54"/>
      <c r="C228" s="54"/>
      <c r="D228" s="54"/>
      <c r="E228" s="54"/>
      <c r="F228" s="55"/>
      <c r="G228" s="114" t="s">
        <v>330</v>
      </c>
      <c r="H228" s="114"/>
      <c r="I228" s="64" t="s">
        <v>214</v>
      </c>
      <c r="J228" s="112"/>
      <c r="K228" s="113" t="e">
        <f>K229+K234+K239+#REF!+#REF!+K232</f>
        <v>#REF!</v>
      </c>
      <c r="L228" s="113" t="e">
        <f>L229+L234+L239+#REF!+#REF!+L232</f>
        <v>#REF!</v>
      </c>
      <c r="M228" s="223" t="e">
        <f>M229+M234+M239+#REF!+#REF!+M232</f>
        <v>#REF!</v>
      </c>
      <c r="N228" s="113" t="e">
        <f>N229+N234+N239+#REF!+#REF!+N232</f>
        <v>#REF!</v>
      </c>
      <c r="O228" s="355">
        <f>O229+O234+O239+O232</f>
        <v>3163741</v>
      </c>
      <c r="P228" s="353"/>
      <c r="Q228" s="353">
        <f>Q229+Q234+Q239+Q232</f>
        <v>3151160.99</v>
      </c>
      <c r="R228" s="350">
        <f t="shared" si="11"/>
        <v>99.602369157273003</v>
      </c>
    </row>
    <row r="229" spans="1:18" ht="77.5" x14ac:dyDescent="0.35">
      <c r="A229" s="4"/>
      <c r="B229" s="17"/>
      <c r="C229" s="17"/>
      <c r="D229" s="17"/>
      <c r="E229" s="17"/>
      <c r="F229" s="18"/>
      <c r="G229" s="304" t="s">
        <v>643</v>
      </c>
      <c r="H229" s="111"/>
      <c r="I229" s="47" t="s">
        <v>215</v>
      </c>
      <c r="J229" s="112"/>
      <c r="K229" s="113">
        <f>K230+K231</f>
        <v>437541</v>
      </c>
      <c r="L229" s="113">
        <f>L230+L231</f>
        <v>0</v>
      </c>
      <c r="M229" s="223">
        <f>M230+M231</f>
        <v>437541</v>
      </c>
      <c r="N229" s="113">
        <f>N230+N231</f>
        <v>0</v>
      </c>
      <c r="O229" s="355">
        <f>O230+O231</f>
        <v>390654</v>
      </c>
      <c r="P229" s="353"/>
      <c r="Q229" s="353">
        <f>Q230+Q231</f>
        <v>388971.99</v>
      </c>
      <c r="R229" s="350">
        <f t="shared" si="11"/>
        <v>99.569437404967047</v>
      </c>
    </row>
    <row r="230" spans="1:18" s="50" customFormat="1" ht="31" hidden="1" x14ac:dyDescent="0.35">
      <c r="A230" s="44"/>
      <c r="B230" s="77"/>
      <c r="C230" s="77"/>
      <c r="D230" s="77"/>
      <c r="E230" s="77"/>
      <c r="F230" s="78"/>
      <c r="G230" s="111" t="s">
        <v>2</v>
      </c>
      <c r="H230" s="111"/>
      <c r="I230" s="112"/>
      <c r="J230" s="112">
        <v>200</v>
      </c>
      <c r="K230" s="113">
        <v>0</v>
      </c>
      <c r="L230" s="113"/>
      <c r="M230" s="223">
        <v>0</v>
      </c>
      <c r="N230" s="113"/>
      <c r="O230" s="355"/>
      <c r="P230" s="353"/>
      <c r="Q230" s="353"/>
      <c r="R230" s="350" t="e">
        <f t="shared" si="11"/>
        <v>#DIV/0!</v>
      </c>
    </row>
    <row r="231" spans="1:18" ht="46.5" x14ac:dyDescent="0.35">
      <c r="A231" s="4"/>
      <c r="B231" s="17"/>
      <c r="C231" s="17"/>
      <c r="D231" s="17"/>
      <c r="E231" s="17"/>
      <c r="F231" s="18"/>
      <c r="G231" s="111" t="s">
        <v>4</v>
      </c>
      <c r="H231" s="111"/>
      <c r="I231" s="112"/>
      <c r="J231" s="112">
        <v>600</v>
      </c>
      <c r="K231" s="113">
        <v>437541</v>
      </c>
      <c r="L231" s="113">
        <v>0</v>
      </c>
      <c r="M231" s="223">
        <f>K231+L231</f>
        <v>437541</v>
      </c>
      <c r="N231" s="113">
        <v>0</v>
      </c>
      <c r="O231" s="353">
        <f>469538-47350-31534</f>
        <v>390654</v>
      </c>
      <c r="P231" s="353"/>
      <c r="Q231" s="353">
        <v>388971.99</v>
      </c>
      <c r="R231" s="350">
        <f t="shared" si="11"/>
        <v>99.569437404967047</v>
      </c>
    </row>
    <row r="232" spans="1:18" ht="46.5" x14ac:dyDescent="0.35">
      <c r="A232" s="4"/>
      <c r="B232" s="17"/>
      <c r="C232" s="17"/>
      <c r="D232" s="17"/>
      <c r="E232" s="17"/>
      <c r="F232" s="18"/>
      <c r="G232" s="111" t="s">
        <v>451</v>
      </c>
      <c r="H232" s="111"/>
      <c r="I232" s="112" t="s">
        <v>452</v>
      </c>
      <c r="J232" s="112"/>
      <c r="K232" s="113">
        <f>K233</f>
        <v>58122</v>
      </c>
      <c r="L232" s="113">
        <f>L233</f>
        <v>0</v>
      </c>
      <c r="M232" s="223">
        <f>M233</f>
        <v>58122</v>
      </c>
      <c r="N232" s="113">
        <f>N233</f>
        <v>0</v>
      </c>
      <c r="O232" s="355">
        <f>O233</f>
        <v>78587</v>
      </c>
      <c r="P232" s="353"/>
      <c r="Q232" s="353">
        <f>Q233</f>
        <v>78586.2</v>
      </c>
      <c r="R232" s="350">
        <f t="shared" si="11"/>
        <v>99.998982019926956</v>
      </c>
    </row>
    <row r="233" spans="1:18" ht="46.5" x14ac:dyDescent="0.35">
      <c r="A233" s="4"/>
      <c r="B233" s="17"/>
      <c r="C233" s="17"/>
      <c r="D233" s="17"/>
      <c r="E233" s="17"/>
      <c r="F233" s="18"/>
      <c r="G233" s="111" t="s">
        <v>4</v>
      </c>
      <c r="H233" s="111"/>
      <c r="I233" s="112"/>
      <c r="J233" s="112">
        <v>600</v>
      </c>
      <c r="K233" s="113">
        <v>58122</v>
      </c>
      <c r="L233" s="113">
        <v>0</v>
      </c>
      <c r="M233" s="223">
        <f>K233+L233</f>
        <v>58122</v>
      </c>
      <c r="N233" s="113">
        <v>0</v>
      </c>
      <c r="O233" s="353">
        <f>74474+4113</f>
        <v>78587</v>
      </c>
      <c r="P233" s="353"/>
      <c r="Q233" s="353">
        <v>78586.2</v>
      </c>
      <c r="R233" s="350">
        <f t="shared" si="11"/>
        <v>99.998982019926956</v>
      </c>
    </row>
    <row r="234" spans="1:18" s="43" customFormat="1" ht="62" x14ac:dyDescent="0.35">
      <c r="A234" s="40"/>
      <c r="B234" s="41"/>
      <c r="C234" s="41"/>
      <c r="D234" s="41"/>
      <c r="E234" s="41"/>
      <c r="F234" s="42"/>
      <c r="G234" s="111" t="s">
        <v>89</v>
      </c>
      <c r="H234" s="111"/>
      <c r="I234" s="47" t="s">
        <v>216</v>
      </c>
      <c r="J234" s="112"/>
      <c r="K234" s="113">
        <f>K236+K238</f>
        <v>47628</v>
      </c>
      <c r="L234" s="113">
        <f>L236+L238</f>
        <v>0</v>
      </c>
      <c r="M234" s="223">
        <f>M236+M238</f>
        <v>47628</v>
      </c>
      <c r="N234" s="113">
        <f>N236+N238</f>
        <v>0</v>
      </c>
      <c r="O234" s="355">
        <f>O237+O238</f>
        <v>64298</v>
      </c>
      <c r="P234" s="353"/>
      <c r="Q234" s="353">
        <f>Q237+Q238</f>
        <v>64297.8</v>
      </c>
      <c r="R234" s="350">
        <f t="shared" si="11"/>
        <v>99.999688948334324</v>
      </c>
    </row>
    <row r="235" spans="1:18" s="43" customFormat="1" ht="40.5" hidden="1" customHeight="1" x14ac:dyDescent="0.35">
      <c r="A235" s="40"/>
      <c r="B235" s="41"/>
      <c r="C235" s="41"/>
      <c r="D235" s="41"/>
      <c r="E235" s="41"/>
      <c r="F235" s="42"/>
      <c r="G235" s="51" t="s">
        <v>2</v>
      </c>
      <c r="H235" s="111"/>
      <c r="I235" s="124"/>
      <c r="J235" s="112">
        <v>200</v>
      </c>
      <c r="K235" s="113"/>
      <c r="L235" s="113"/>
      <c r="M235" s="223"/>
      <c r="N235" s="113"/>
      <c r="O235" s="355"/>
      <c r="P235" s="353"/>
      <c r="Q235" s="353"/>
      <c r="R235" s="350" t="e">
        <f t="shared" si="11"/>
        <v>#DIV/0!</v>
      </c>
    </row>
    <row r="236" spans="1:18" s="43" customFormat="1" ht="40.5" hidden="1" customHeight="1" x14ac:dyDescent="0.35">
      <c r="A236" s="40"/>
      <c r="B236" s="182"/>
      <c r="C236" s="182"/>
      <c r="D236" s="182"/>
      <c r="E236" s="182"/>
      <c r="F236" s="183"/>
      <c r="G236" s="111" t="s">
        <v>2</v>
      </c>
      <c r="H236" s="111"/>
      <c r="I236" s="124"/>
      <c r="J236" s="112">
        <v>200</v>
      </c>
      <c r="K236" s="113"/>
      <c r="L236" s="113">
        <v>0</v>
      </c>
      <c r="M236" s="223">
        <f>K236+L236</f>
        <v>0</v>
      </c>
      <c r="N236" s="113"/>
      <c r="O236" s="355"/>
      <c r="P236" s="353"/>
      <c r="Q236" s="353"/>
      <c r="R236" s="350" t="e">
        <f t="shared" si="11"/>
        <v>#DIV/0!</v>
      </c>
    </row>
    <row r="237" spans="1:18" s="43" customFormat="1" ht="40.5" customHeight="1" x14ac:dyDescent="0.35">
      <c r="A237" s="40"/>
      <c r="B237" s="314"/>
      <c r="C237" s="314"/>
      <c r="D237" s="314"/>
      <c r="E237" s="314"/>
      <c r="F237" s="315"/>
      <c r="G237" s="111" t="s">
        <v>2</v>
      </c>
      <c r="H237" s="111"/>
      <c r="I237" s="124"/>
      <c r="J237" s="112">
        <v>200</v>
      </c>
      <c r="K237" s="113"/>
      <c r="L237" s="113"/>
      <c r="M237" s="223"/>
      <c r="N237" s="113"/>
      <c r="O237" s="355">
        <v>0.2</v>
      </c>
      <c r="P237" s="353"/>
      <c r="Q237" s="353">
        <v>0</v>
      </c>
      <c r="R237" s="350">
        <f t="shared" si="11"/>
        <v>0</v>
      </c>
    </row>
    <row r="238" spans="1:18" s="43" customFormat="1" ht="46.5" x14ac:dyDescent="0.35">
      <c r="A238" s="40"/>
      <c r="B238" s="41"/>
      <c r="C238" s="41"/>
      <c r="D238" s="41"/>
      <c r="E238" s="41"/>
      <c r="F238" s="42"/>
      <c r="G238" s="111" t="s">
        <v>4</v>
      </c>
      <c r="H238" s="111"/>
      <c r="I238" s="112"/>
      <c r="J238" s="112">
        <v>600</v>
      </c>
      <c r="K238" s="113">
        <v>47628</v>
      </c>
      <c r="L238" s="113">
        <v>0</v>
      </c>
      <c r="M238" s="223">
        <f>K238+L238</f>
        <v>47628</v>
      </c>
      <c r="N238" s="113"/>
      <c r="O238" s="355">
        <f>65092-794.2</f>
        <v>64297.8</v>
      </c>
      <c r="P238" s="353"/>
      <c r="Q238" s="353">
        <v>64297.8</v>
      </c>
      <c r="R238" s="350">
        <f t="shared" si="11"/>
        <v>100</v>
      </c>
    </row>
    <row r="239" spans="1:18" s="43" customFormat="1" ht="93" x14ac:dyDescent="0.35">
      <c r="A239" s="40"/>
      <c r="B239" s="41"/>
      <c r="C239" s="41"/>
      <c r="D239" s="41"/>
      <c r="E239" s="41"/>
      <c r="F239" s="42"/>
      <c r="G239" s="111" t="s">
        <v>90</v>
      </c>
      <c r="H239" s="111"/>
      <c r="I239" s="47" t="s">
        <v>217</v>
      </c>
      <c r="J239" s="112"/>
      <c r="K239" s="113">
        <f>K246+K247+K243</f>
        <v>2151198</v>
      </c>
      <c r="L239" s="113">
        <f>L241+L242+L247</f>
        <v>0</v>
      </c>
      <c r="M239" s="223">
        <f>M241+M242+M247</f>
        <v>1257358</v>
      </c>
      <c r="N239" s="113">
        <f t="shared" ref="N239" si="14">N246+N247+N243</f>
        <v>0</v>
      </c>
      <c r="O239" s="355">
        <f>O245+O246+O247</f>
        <v>2630202</v>
      </c>
      <c r="P239" s="353"/>
      <c r="Q239" s="353">
        <f>Q245+Q246+Q247</f>
        <v>2619305</v>
      </c>
      <c r="R239" s="350">
        <f t="shared" si="11"/>
        <v>99.585697220213504</v>
      </c>
    </row>
    <row r="240" spans="1:18" s="43" customFormat="1" ht="32.25" hidden="1" customHeight="1" x14ac:dyDescent="0.35">
      <c r="A240" s="40"/>
      <c r="B240" s="41"/>
      <c r="C240" s="41"/>
      <c r="D240" s="41"/>
      <c r="E240" s="41"/>
      <c r="F240" s="42"/>
      <c r="G240" s="111" t="s">
        <v>5</v>
      </c>
      <c r="H240" s="111"/>
      <c r="I240" s="124"/>
      <c r="J240" s="112">
        <v>300</v>
      </c>
      <c r="K240" s="113"/>
      <c r="L240" s="113"/>
      <c r="M240" s="223"/>
      <c r="N240" s="113"/>
      <c r="O240" s="355"/>
      <c r="P240" s="353"/>
      <c r="Q240" s="353"/>
      <c r="R240" s="350" t="e">
        <f t="shared" si="11"/>
        <v>#DIV/0!</v>
      </c>
    </row>
    <row r="241" spans="1:18" s="43" customFormat="1" ht="32.25" hidden="1" customHeight="1" x14ac:dyDescent="0.35">
      <c r="A241" s="40"/>
      <c r="B241" s="182"/>
      <c r="C241" s="182"/>
      <c r="D241" s="182"/>
      <c r="E241" s="182"/>
      <c r="F241" s="183"/>
      <c r="G241" s="111" t="s">
        <v>2</v>
      </c>
      <c r="H241" s="125"/>
      <c r="I241" s="184"/>
      <c r="J241" s="126">
        <v>200</v>
      </c>
      <c r="K241" s="127"/>
      <c r="L241" s="127">
        <v>0</v>
      </c>
      <c r="M241" s="227">
        <f>K241+L241</f>
        <v>0</v>
      </c>
      <c r="N241" s="113"/>
      <c r="O241" s="355"/>
      <c r="P241" s="353"/>
      <c r="Q241" s="353"/>
      <c r="R241" s="350" t="e">
        <f t="shared" si="11"/>
        <v>#DIV/0!</v>
      </c>
    </row>
    <row r="242" spans="1:18" s="43" customFormat="1" ht="21" hidden="1" customHeight="1" x14ac:dyDescent="0.35">
      <c r="A242" s="40"/>
      <c r="B242" s="182"/>
      <c r="C242" s="182"/>
      <c r="D242" s="182"/>
      <c r="E242" s="182"/>
      <c r="F242" s="183"/>
      <c r="G242" s="111" t="s">
        <v>5</v>
      </c>
      <c r="H242" s="125"/>
      <c r="I242" s="184"/>
      <c r="J242" s="126">
        <v>300</v>
      </c>
      <c r="K242" s="127"/>
      <c r="L242" s="127">
        <v>0</v>
      </c>
      <c r="M242" s="227">
        <f>K242+L242</f>
        <v>0</v>
      </c>
      <c r="N242" s="113"/>
      <c r="O242" s="355"/>
      <c r="P242" s="353"/>
      <c r="Q242" s="353"/>
      <c r="R242" s="350" t="e">
        <f t="shared" si="11"/>
        <v>#DIV/0!</v>
      </c>
    </row>
    <row r="243" spans="1:18" s="43" customFormat="1" ht="37.5" hidden="1" customHeight="1" x14ac:dyDescent="0.35">
      <c r="A243" s="40"/>
      <c r="B243" s="241"/>
      <c r="C243" s="241"/>
      <c r="D243" s="241"/>
      <c r="E243" s="241"/>
      <c r="F243" s="242"/>
      <c r="G243" s="111" t="s">
        <v>2</v>
      </c>
      <c r="H243" s="125"/>
      <c r="I243" s="184"/>
      <c r="J243" s="126">
        <v>200</v>
      </c>
      <c r="K243" s="127">
        <v>466</v>
      </c>
      <c r="L243" s="127"/>
      <c r="M243" s="227"/>
      <c r="N243" s="113">
        <v>0</v>
      </c>
      <c r="O243" s="355"/>
      <c r="P243" s="353"/>
      <c r="Q243" s="353"/>
      <c r="R243" s="350" t="e">
        <f t="shared" si="11"/>
        <v>#DIV/0!</v>
      </c>
    </row>
    <row r="244" spans="1:18" s="43" customFormat="1" ht="37.5" hidden="1" customHeight="1" x14ac:dyDescent="0.35">
      <c r="A244" s="40"/>
      <c r="B244" s="278"/>
      <c r="C244" s="278"/>
      <c r="D244" s="278"/>
      <c r="E244" s="278"/>
      <c r="F244" s="279"/>
      <c r="G244" s="111" t="s">
        <v>2</v>
      </c>
      <c r="H244" s="125"/>
      <c r="I244" s="184"/>
      <c r="J244" s="126">
        <v>200</v>
      </c>
      <c r="K244" s="127"/>
      <c r="L244" s="127"/>
      <c r="M244" s="227"/>
      <c r="N244" s="113"/>
      <c r="O244" s="355"/>
      <c r="P244" s="353"/>
      <c r="Q244" s="353"/>
      <c r="R244" s="350" t="e">
        <f t="shared" si="11"/>
        <v>#DIV/0!</v>
      </c>
    </row>
    <row r="245" spans="1:18" s="43" customFormat="1" ht="37.5" customHeight="1" x14ac:dyDescent="0.35">
      <c r="A245" s="40"/>
      <c r="B245" s="314"/>
      <c r="C245" s="314"/>
      <c r="D245" s="314"/>
      <c r="E245" s="314"/>
      <c r="F245" s="315"/>
      <c r="G245" s="111" t="s">
        <v>2</v>
      </c>
      <c r="H245" s="125"/>
      <c r="I245" s="184"/>
      <c r="J245" s="126">
        <v>200</v>
      </c>
      <c r="K245" s="127"/>
      <c r="L245" s="127"/>
      <c r="M245" s="227"/>
      <c r="N245" s="113"/>
      <c r="O245" s="355">
        <v>10167</v>
      </c>
      <c r="P245" s="353"/>
      <c r="Q245" s="353">
        <v>0</v>
      </c>
      <c r="R245" s="350">
        <f t="shared" si="11"/>
        <v>0</v>
      </c>
    </row>
    <row r="246" spans="1:18" s="43" customFormat="1" ht="31" x14ac:dyDescent="0.35">
      <c r="A246" s="40"/>
      <c r="B246" s="208"/>
      <c r="C246" s="208"/>
      <c r="D246" s="208"/>
      <c r="E246" s="208"/>
      <c r="F246" s="209"/>
      <c r="G246" s="111" t="s">
        <v>5</v>
      </c>
      <c r="H246" s="125"/>
      <c r="I246" s="184"/>
      <c r="J246" s="126">
        <v>300</v>
      </c>
      <c r="K246" s="127">
        <v>893374</v>
      </c>
      <c r="L246" s="127"/>
      <c r="M246" s="227"/>
      <c r="N246" s="113">
        <v>0</v>
      </c>
      <c r="O246" s="356">
        <f>892572-8052</f>
        <v>884520</v>
      </c>
      <c r="P246" s="353"/>
      <c r="Q246" s="353">
        <v>884520</v>
      </c>
      <c r="R246" s="350">
        <f t="shared" si="11"/>
        <v>100</v>
      </c>
    </row>
    <row r="247" spans="1:18" s="43" customFormat="1" ht="46.5" x14ac:dyDescent="0.35">
      <c r="A247" s="40"/>
      <c r="B247" s="41"/>
      <c r="C247" s="41"/>
      <c r="D247" s="41"/>
      <c r="E247" s="41"/>
      <c r="F247" s="42"/>
      <c r="G247" s="125" t="s">
        <v>4</v>
      </c>
      <c r="H247" s="125"/>
      <c r="I247" s="126"/>
      <c r="J247" s="126">
        <v>600</v>
      </c>
      <c r="K247" s="127">
        <v>1257358</v>
      </c>
      <c r="L247" s="127">
        <v>0</v>
      </c>
      <c r="M247" s="227">
        <f>K247+L247</f>
        <v>1257358</v>
      </c>
      <c r="N247" s="113">
        <v>0</v>
      </c>
      <c r="O247" s="353">
        <f>1737630-2115</f>
        <v>1735515</v>
      </c>
      <c r="P247" s="353"/>
      <c r="Q247" s="353">
        <v>1734785</v>
      </c>
      <c r="R247" s="350">
        <f t="shared" si="11"/>
        <v>99.95793755743972</v>
      </c>
    </row>
    <row r="248" spans="1:18" ht="30" x14ac:dyDescent="0.35">
      <c r="A248" s="4"/>
      <c r="B248" s="17"/>
      <c r="C248" s="17"/>
      <c r="D248" s="17"/>
      <c r="E248" s="17"/>
      <c r="F248" s="18"/>
      <c r="G248" s="303" t="s">
        <v>625</v>
      </c>
      <c r="H248" s="108"/>
      <c r="I248" s="60" t="s">
        <v>218</v>
      </c>
      <c r="J248" s="112"/>
      <c r="K248" s="113">
        <f>K249</f>
        <v>51000</v>
      </c>
      <c r="L248" s="113"/>
      <c r="M248" s="223">
        <f t="shared" ref="M248:Q249" si="15">M249</f>
        <v>49000</v>
      </c>
      <c r="N248" s="113">
        <f t="shared" si="15"/>
        <v>0</v>
      </c>
      <c r="O248" s="354">
        <f t="shared" si="15"/>
        <v>61000</v>
      </c>
      <c r="P248" s="353"/>
      <c r="Q248" s="353">
        <f t="shared" si="15"/>
        <v>57400</v>
      </c>
      <c r="R248" s="350">
        <f t="shared" si="11"/>
        <v>94.098360655737707</v>
      </c>
    </row>
    <row r="249" spans="1:18" ht="46.5" x14ac:dyDescent="0.35">
      <c r="A249" s="4"/>
      <c r="B249" s="17"/>
      <c r="C249" s="17"/>
      <c r="D249" s="17"/>
      <c r="E249" s="17"/>
      <c r="F249" s="18"/>
      <c r="G249" s="304" t="s">
        <v>626</v>
      </c>
      <c r="H249" s="111"/>
      <c r="I249" s="47" t="s">
        <v>219</v>
      </c>
      <c r="J249" s="112"/>
      <c r="K249" s="113">
        <f>K250</f>
        <v>51000</v>
      </c>
      <c r="L249" s="113"/>
      <c r="M249" s="223">
        <f t="shared" si="15"/>
        <v>49000</v>
      </c>
      <c r="N249" s="113">
        <f t="shared" si="15"/>
        <v>0</v>
      </c>
      <c r="O249" s="355">
        <f t="shared" si="15"/>
        <v>61000</v>
      </c>
      <c r="P249" s="353"/>
      <c r="Q249" s="353">
        <f t="shared" si="15"/>
        <v>57400</v>
      </c>
      <c r="R249" s="350">
        <f t="shared" si="11"/>
        <v>94.098360655737707</v>
      </c>
    </row>
    <row r="250" spans="1:18" ht="46.5" x14ac:dyDescent="0.35">
      <c r="A250" s="4"/>
      <c r="B250" s="17"/>
      <c r="C250" s="17"/>
      <c r="D250" s="17"/>
      <c r="E250" s="17"/>
      <c r="F250" s="18"/>
      <c r="G250" s="128" t="s">
        <v>221</v>
      </c>
      <c r="H250" s="128"/>
      <c r="I250" s="64" t="s">
        <v>220</v>
      </c>
      <c r="J250" s="126"/>
      <c r="K250" s="127">
        <f>K251+K255</f>
        <v>51000</v>
      </c>
      <c r="L250" s="127"/>
      <c r="M250" s="227">
        <f>M251+M255</f>
        <v>49000</v>
      </c>
      <c r="N250" s="113">
        <f>N251+N255</f>
        <v>0</v>
      </c>
      <c r="O250" s="355">
        <f>O251+O255</f>
        <v>61000</v>
      </c>
      <c r="P250" s="353"/>
      <c r="Q250" s="353">
        <f>Q251+Q255</f>
        <v>57400</v>
      </c>
      <c r="R250" s="350">
        <f t="shared" si="11"/>
        <v>94.098360655737707</v>
      </c>
    </row>
    <row r="251" spans="1:18" ht="46.5" x14ac:dyDescent="0.35">
      <c r="A251" s="4"/>
      <c r="B251" s="17"/>
      <c r="C251" s="17"/>
      <c r="D251" s="17"/>
      <c r="E251" s="17"/>
      <c r="F251" s="18"/>
      <c r="G251" s="305" t="s">
        <v>627</v>
      </c>
      <c r="H251" s="125"/>
      <c r="I251" s="47" t="s">
        <v>222</v>
      </c>
      <c r="J251" s="126"/>
      <c r="K251" s="127">
        <f>K252+K254</f>
        <v>51000</v>
      </c>
      <c r="L251" s="127"/>
      <c r="M251" s="227">
        <f>M252+M254</f>
        <v>49000</v>
      </c>
      <c r="N251" s="113">
        <f>N252+N254</f>
        <v>0</v>
      </c>
      <c r="O251" s="355">
        <f>O252+O254</f>
        <v>61000</v>
      </c>
      <c r="P251" s="353"/>
      <c r="Q251" s="353">
        <f>Q252+Q254</f>
        <v>57400</v>
      </c>
      <c r="R251" s="350">
        <f t="shared" si="11"/>
        <v>94.098360655737707</v>
      </c>
    </row>
    <row r="252" spans="1:18" ht="31" x14ac:dyDescent="0.35">
      <c r="A252" s="4"/>
      <c r="B252" s="17"/>
      <c r="C252" s="17"/>
      <c r="D252" s="17"/>
      <c r="E252" s="17"/>
      <c r="F252" s="18"/>
      <c r="G252" s="111" t="s">
        <v>2</v>
      </c>
      <c r="H252" s="111"/>
      <c r="I252" s="112"/>
      <c r="J252" s="112">
        <v>200</v>
      </c>
      <c r="K252" s="113">
        <v>16000</v>
      </c>
      <c r="L252" s="113"/>
      <c r="M252" s="223">
        <v>14000</v>
      </c>
      <c r="N252" s="113"/>
      <c r="O252" s="355">
        <v>18000</v>
      </c>
      <c r="P252" s="353"/>
      <c r="Q252" s="353">
        <v>18000</v>
      </c>
      <c r="R252" s="350">
        <f t="shared" si="11"/>
        <v>100</v>
      </c>
    </row>
    <row r="253" spans="1:18" ht="26.25" hidden="1" customHeight="1" x14ac:dyDescent="0.35">
      <c r="A253" s="4"/>
      <c r="B253" s="17"/>
      <c r="C253" s="17"/>
      <c r="D253" s="17"/>
      <c r="E253" s="17"/>
      <c r="F253" s="18"/>
      <c r="G253" s="111" t="s">
        <v>5</v>
      </c>
      <c r="H253" s="111"/>
      <c r="I253" s="112"/>
      <c r="J253" s="112">
        <v>300</v>
      </c>
      <c r="K253" s="113"/>
      <c r="L253" s="113"/>
      <c r="M253" s="223"/>
      <c r="N253" s="113"/>
      <c r="O253" s="355"/>
      <c r="P253" s="353"/>
      <c r="Q253" s="353"/>
      <c r="R253" s="350" t="e">
        <f t="shared" si="11"/>
        <v>#DIV/0!</v>
      </c>
    </row>
    <row r="254" spans="1:18" ht="46.5" x14ac:dyDescent="0.35">
      <c r="A254" s="4"/>
      <c r="B254" s="17"/>
      <c r="C254" s="17"/>
      <c r="D254" s="17"/>
      <c r="E254" s="17"/>
      <c r="F254" s="18"/>
      <c r="G254" s="111" t="s">
        <v>4</v>
      </c>
      <c r="H254" s="111"/>
      <c r="I254" s="112"/>
      <c r="J254" s="112">
        <v>600</v>
      </c>
      <c r="K254" s="113">
        <v>35000</v>
      </c>
      <c r="L254" s="113"/>
      <c r="M254" s="223">
        <v>35000</v>
      </c>
      <c r="N254" s="113"/>
      <c r="O254" s="356">
        <v>43000</v>
      </c>
      <c r="P254" s="353"/>
      <c r="Q254" s="353">
        <v>39400</v>
      </c>
      <c r="R254" s="350">
        <f t="shared" si="11"/>
        <v>91.627906976744185</v>
      </c>
    </row>
    <row r="255" spans="1:18" ht="36.75" hidden="1" customHeight="1" x14ac:dyDescent="0.35">
      <c r="A255" s="4"/>
      <c r="B255" s="17"/>
      <c r="C255" s="17"/>
      <c r="D255" s="17"/>
      <c r="E255" s="17"/>
      <c r="F255" s="18"/>
      <c r="G255" s="111" t="s">
        <v>91</v>
      </c>
      <c r="H255" s="111"/>
      <c r="I255" s="47" t="s">
        <v>223</v>
      </c>
      <c r="J255" s="112"/>
      <c r="K255" s="113">
        <f>K256</f>
        <v>0</v>
      </c>
      <c r="L255" s="113"/>
      <c r="M255" s="223">
        <f>M256</f>
        <v>0</v>
      </c>
      <c r="N255" s="113"/>
      <c r="O255" s="354"/>
      <c r="P255" s="353"/>
      <c r="Q255" s="353"/>
      <c r="R255" s="350" t="e">
        <f t="shared" si="11"/>
        <v>#DIV/0!</v>
      </c>
    </row>
    <row r="256" spans="1:18" ht="33" hidden="1" customHeight="1" x14ac:dyDescent="0.35">
      <c r="A256" s="4"/>
      <c r="B256" s="17"/>
      <c r="C256" s="17"/>
      <c r="D256" s="17"/>
      <c r="E256" s="17"/>
      <c r="F256" s="18"/>
      <c r="G256" s="111" t="s">
        <v>2</v>
      </c>
      <c r="H256" s="111"/>
      <c r="I256" s="112"/>
      <c r="J256" s="112">
        <v>200</v>
      </c>
      <c r="K256" s="113"/>
      <c r="L256" s="113"/>
      <c r="M256" s="223"/>
      <c r="N256" s="113"/>
      <c r="O256" s="354"/>
      <c r="P256" s="353"/>
      <c r="Q256" s="353"/>
      <c r="R256" s="350" t="e">
        <f t="shared" si="11"/>
        <v>#DIV/0!</v>
      </c>
    </row>
    <row r="257" spans="1:18" ht="75" x14ac:dyDescent="0.35">
      <c r="A257" s="4"/>
      <c r="B257" s="17"/>
      <c r="C257" s="17"/>
      <c r="D257" s="17"/>
      <c r="E257" s="17"/>
      <c r="F257" s="18"/>
      <c r="G257" s="306" t="s">
        <v>628</v>
      </c>
      <c r="H257" s="59"/>
      <c r="I257" s="60" t="s">
        <v>224</v>
      </c>
      <c r="J257" s="61" t="s">
        <v>0</v>
      </c>
      <c r="K257" s="62">
        <f>K258+K263</f>
        <v>243000</v>
      </c>
      <c r="L257" s="62"/>
      <c r="M257" s="224">
        <f>M258+M263</f>
        <v>220000</v>
      </c>
      <c r="N257" s="121">
        <f>N258+N263</f>
        <v>0</v>
      </c>
      <c r="O257" s="354">
        <f>O258+O263</f>
        <v>252000</v>
      </c>
      <c r="P257" s="353"/>
      <c r="Q257" s="352">
        <f>Q258+Q263</f>
        <v>225948</v>
      </c>
      <c r="R257" s="350">
        <f t="shared" si="11"/>
        <v>89.661904761904765</v>
      </c>
    </row>
    <row r="258" spans="1:18" ht="72.75" customHeight="1" x14ac:dyDescent="0.35">
      <c r="A258" s="4"/>
      <c r="B258" s="17"/>
      <c r="C258" s="17"/>
      <c r="D258" s="17"/>
      <c r="E258" s="17"/>
      <c r="F258" s="18"/>
      <c r="G258" s="14" t="s">
        <v>629</v>
      </c>
      <c r="H258" s="115"/>
      <c r="I258" s="47" t="s">
        <v>339</v>
      </c>
      <c r="J258" s="48" t="s">
        <v>0</v>
      </c>
      <c r="K258" s="49">
        <f>K259</f>
        <v>73000</v>
      </c>
      <c r="L258" s="49"/>
      <c r="M258" s="225">
        <f t="shared" ref="M258:Q259" si="16">M259</f>
        <v>50000</v>
      </c>
      <c r="N258" s="49">
        <f t="shared" si="16"/>
        <v>0</v>
      </c>
      <c r="O258" s="355">
        <f t="shared" si="16"/>
        <v>252000</v>
      </c>
      <c r="P258" s="353"/>
      <c r="Q258" s="353">
        <f t="shared" si="16"/>
        <v>225948</v>
      </c>
      <c r="R258" s="350">
        <f t="shared" ref="R258:R321" si="17">Q258/O258*100</f>
        <v>89.661904761904765</v>
      </c>
    </row>
    <row r="259" spans="1:18" ht="46.5" x14ac:dyDescent="0.35">
      <c r="A259" s="4"/>
      <c r="B259" s="17"/>
      <c r="C259" s="17"/>
      <c r="D259" s="17"/>
      <c r="E259" s="17"/>
      <c r="F259" s="18"/>
      <c r="G259" s="63" t="s">
        <v>227</v>
      </c>
      <c r="H259" s="63"/>
      <c r="I259" s="64" t="s">
        <v>341</v>
      </c>
      <c r="J259" s="48"/>
      <c r="K259" s="49">
        <f>K260</f>
        <v>73000</v>
      </c>
      <c r="L259" s="49"/>
      <c r="M259" s="225">
        <f t="shared" si="16"/>
        <v>50000</v>
      </c>
      <c r="N259" s="49">
        <f t="shared" si="16"/>
        <v>0</v>
      </c>
      <c r="O259" s="359">
        <f>O260+O265</f>
        <v>252000</v>
      </c>
      <c r="P259" s="358"/>
      <c r="Q259" s="358">
        <f>Q260+Q265</f>
        <v>225948</v>
      </c>
      <c r="R259" s="350">
        <f t="shared" si="17"/>
        <v>89.661904761904765</v>
      </c>
    </row>
    <row r="260" spans="1:18" ht="67.5" customHeight="1" x14ac:dyDescent="0.35">
      <c r="A260" s="4"/>
      <c r="B260" s="17"/>
      <c r="C260" s="17"/>
      <c r="D260" s="17"/>
      <c r="E260" s="17"/>
      <c r="F260" s="18"/>
      <c r="G260" s="14" t="s">
        <v>630</v>
      </c>
      <c r="H260" s="51"/>
      <c r="I260" s="47" t="s">
        <v>342</v>
      </c>
      <c r="J260" s="48"/>
      <c r="K260" s="49">
        <f>K261+K262</f>
        <v>73000</v>
      </c>
      <c r="L260" s="49"/>
      <c r="M260" s="225">
        <f>M261+M262</f>
        <v>50000</v>
      </c>
      <c r="N260" s="49">
        <f>N261+N262</f>
        <v>0</v>
      </c>
      <c r="O260" s="355">
        <f>O261+O262</f>
        <v>82000</v>
      </c>
      <c r="P260" s="353"/>
      <c r="Q260" s="353">
        <f>Q261+Q262</f>
        <v>63000</v>
      </c>
      <c r="R260" s="350">
        <f t="shared" si="17"/>
        <v>76.829268292682926</v>
      </c>
    </row>
    <row r="261" spans="1:18" ht="39.75" hidden="1" customHeight="1" x14ac:dyDescent="0.35">
      <c r="A261" s="4"/>
      <c r="B261" s="17"/>
      <c r="C261" s="17"/>
      <c r="D261" s="17"/>
      <c r="E261" s="17"/>
      <c r="F261" s="18"/>
      <c r="G261" s="51" t="s">
        <v>2</v>
      </c>
      <c r="H261" s="51"/>
      <c r="I261" s="79"/>
      <c r="J261" s="48">
        <v>200</v>
      </c>
      <c r="K261" s="49">
        <v>0</v>
      </c>
      <c r="L261" s="49"/>
      <c r="M261" s="225">
        <v>0</v>
      </c>
      <c r="N261" s="49"/>
      <c r="O261" s="355"/>
      <c r="P261" s="353"/>
      <c r="Q261" s="353"/>
      <c r="R261" s="350" t="e">
        <f t="shared" si="17"/>
        <v>#DIV/0!</v>
      </c>
    </row>
    <row r="262" spans="1:18" ht="46.5" x14ac:dyDescent="0.35">
      <c r="A262" s="4"/>
      <c r="B262" s="17"/>
      <c r="C262" s="17"/>
      <c r="D262" s="17"/>
      <c r="E262" s="17"/>
      <c r="F262" s="18"/>
      <c r="G262" s="51" t="s">
        <v>4</v>
      </c>
      <c r="H262" s="51"/>
      <c r="I262" s="79"/>
      <c r="J262" s="48">
        <v>600</v>
      </c>
      <c r="K262" s="49">
        <v>73000</v>
      </c>
      <c r="L262" s="49"/>
      <c r="M262" s="225">
        <v>50000</v>
      </c>
      <c r="N262" s="49"/>
      <c r="O262" s="356">
        <f>52000+30000</f>
        <v>82000</v>
      </c>
      <c r="P262" s="353"/>
      <c r="Q262" s="353">
        <v>63000</v>
      </c>
      <c r="R262" s="350">
        <f t="shared" si="17"/>
        <v>76.829268292682926</v>
      </c>
    </row>
    <row r="263" spans="1:18" ht="62" hidden="1" x14ac:dyDescent="0.35">
      <c r="A263" s="4"/>
      <c r="B263" s="17"/>
      <c r="C263" s="17"/>
      <c r="D263" s="17"/>
      <c r="E263" s="17"/>
      <c r="F263" s="18"/>
      <c r="G263" s="51" t="s">
        <v>499</v>
      </c>
      <c r="H263" s="115"/>
      <c r="I263" s="47" t="s">
        <v>229</v>
      </c>
      <c r="J263" s="48"/>
      <c r="K263" s="49">
        <f>K264</f>
        <v>170000</v>
      </c>
      <c r="L263" s="49"/>
      <c r="M263" s="225">
        <f>M264</f>
        <v>170000</v>
      </c>
      <c r="N263" s="49">
        <f>N264</f>
        <v>0</v>
      </c>
      <c r="O263" s="355"/>
      <c r="P263" s="353"/>
      <c r="Q263" s="353"/>
      <c r="R263" s="350" t="e">
        <f t="shared" si="17"/>
        <v>#DIV/0!</v>
      </c>
    </row>
    <row r="264" spans="1:18" ht="62" hidden="1" x14ac:dyDescent="0.35">
      <c r="A264" s="4"/>
      <c r="B264" s="17"/>
      <c r="C264" s="17"/>
      <c r="D264" s="17"/>
      <c r="E264" s="17"/>
      <c r="F264" s="18"/>
      <c r="G264" s="63" t="s">
        <v>433</v>
      </c>
      <c r="H264" s="63"/>
      <c r="I264" s="64" t="s">
        <v>230</v>
      </c>
      <c r="J264" s="48"/>
      <c r="K264" s="49">
        <f>K265+K267</f>
        <v>170000</v>
      </c>
      <c r="L264" s="49"/>
      <c r="M264" s="225">
        <f>M265+M267</f>
        <v>170000</v>
      </c>
      <c r="N264" s="49">
        <f>N265+N267</f>
        <v>0</v>
      </c>
      <c r="O264" s="355"/>
      <c r="P264" s="353"/>
      <c r="Q264" s="353"/>
      <c r="R264" s="350" t="e">
        <f t="shared" si="17"/>
        <v>#DIV/0!</v>
      </c>
    </row>
    <row r="265" spans="1:18" ht="62" x14ac:dyDescent="0.35">
      <c r="A265" s="4"/>
      <c r="B265" s="17"/>
      <c r="C265" s="17"/>
      <c r="D265" s="17"/>
      <c r="E265" s="17"/>
      <c r="F265" s="18"/>
      <c r="G265" s="51" t="s">
        <v>584</v>
      </c>
      <c r="H265" s="51"/>
      <c r="I265" s="47" t="s">
        <v>583</v>
      </c>
      <c r="J265" s="48"/>
      <c r="K265" s="49">
        <f>K266</f>
        <v>170000</v>
      </c>
      <c r="L265" s="49"/>
      <c r="M265" s="225">
        <f>M266</f>
        <v>170000</v>
      </c>
      <c r="N265" s="49">
        <f>N266</f>
        <v>0</v>
      </c>
      <c r="O265" s="355">
        <f>O266</f>
        <v>170000</v>
      </c>
      <c r="P265" s="353"/>
      <c r="Q265" s="353">
        <f>Q266</f>
        <v>162948</v>
      </c>
      <c r="R265" s="350">
        <f t="shared" si="17"/>
        <v>95.851764705882346</v>
      </c>
    </row>
    <row r="266" spans="1:18" ht="46.5" x14ac:dyDescent="0.35">
      <c r="A266" s="4"/>
      <c r="B266" s="17"/>
      <c r="C266" s="17"/>
      <c r="D266" s="17"/>
      <c r="E266" s="17"/>
      <c r="F266" s="18"/>
      <c r="G266" s="51" t="s">
        <v>4</v>
      </c>
      <c r="H266" s="51"/>
      <c r="I266" s="79"/>
      <c r="J266" s="48">
        <v>600</v>
      </c>
      <c r="K266" s="49">
        <v>170000</v>
      </c>
      <c r="L266" s="49"/>
      <c r="M266" s="225">
        <v>170000</v>
      </c>
      <c r="N266" s="49"/>
      <c r="O266" s="355">
        <v>170000</v>
      </c>
      <c r="P266" s="353"/>
      <c r="Q266" s="353">
        <v>162948</v>
      </c>
      <c r="R266" s="350">
        <f t="shared" si="17"/>
        <v>95.851764705882346</v>
      </c>
    </row>
    <row r="267" spans="1:18" s="43" customFormat="1" ht="49.5" hidden="1" customHeight="1" x14ac:dyDescent="0.35">
      <c r="A267" s="40"/>
      <c r="B267" s="41"/>
      <c r="C267" s="41"/>
      <c r="D267" s="41"/>
      <c r="E267" s="41"/>
      <c r="F267" s="42"/>
      <c r="G267" s="51" t="s">
        <v>232</v>
      </c>
      <c r="H267" s="51"/>
      <c r="I267" s="47" t="s">
        <v>231</v>
      </c>
      <c r="J267" s="48"/>
      <c r="K267" s="49">
        <f>K268</f>
        <v>0</v>
      </c>
      <c r="L267" s="49"/>
      <c r="M267" s="225">
        <f>M268</f>
        <v>0</v>
      </c>
      <c r="N267" s="49"/>
      <c r="O267" s="354"/>
      <c r="P267" s="353"/>
      <c r="Q267" s="353"/>
      <c r="R267" s="350" t="e">
        <f t="shared" si="17"/>
        <v>#DIV/0!</v>
      </c>
    </row>
    <row r="268" spans="1:18" s="43" customFormat="1" ht="42.75" hidden="1" customHeight="1" x14ac:dyDescent="0.35">
      <c r="A268" s="40"/>
      <c r="B268" s="403" t="s">
        <v>40</v>
      </c>
      <c r="C268" s="403"/>
      <c r="D268" s="403"/>
      <c r="E268" s="403"/>
      <c r="F268" s="404"/>
      <c r="G268" s="51" t="s">
        <v>4</v>
      </c>
      <c r="H268" s="51"/>
      <c r="I268" s="47"/>
      <c r="J268" s="48">
        <v>600</v>
      </c>
      <c r="K268" s="49"/>
      <c r="L268" s="49"/>
      <c r="M268" s="225"/>
      <c r="N268" s="49"/>
      <c r="O268" s="354"/>
      <c r="P268" s="353"/>
      <c r="Q268" s="353"/>
      <c r="R268" s="350" t="e">
        <f t="shared" si="17"/>
        <v>#DIV/0!</v>
      </c>
    </row>
    <row r="269" spans="1:18" s="43" customFormat="1" ht="60" x14ac:dyDescent="0.35">
      <c r="A269" s="40"/>
      <c r="B269" s="158"/>
      <c r="C269" s="158"/>
      <c r="D269" s="158"/>
      <c r="E269" s="158"/>
      <c r="F269" s="159"/>
      <c r="G269" s="2" t="s">
        <v>631</v>
      </c>
      <c r="H269" s="51"/>
      <c r="I269" s="60" t="s">
        <v>402</v>
      </c>
      <c r="J269" s="48"/>
      <c r="K269" s="121">
        <f>K270</f>
        <v>51000</v>
      </c>
      <c r="L269" s="49"/>
      <c r="M269" s="226">
        <f t="shared" ref="M269:Q272" si="18">M270</f>
        <v>51000</v>
      </c>
      <c r="N269" s="121">
        <f t="shared" si="18"/>
        <v>0</v>
      </c>
      <c r="O269" s="354">
        <f t="shared" si="18"/>
        <v>27500</v>
      </c>
      <c r="P269" s="353"/>
      <c r="Q269" s="352">
        <f t="shared" si="18"/>
        <v>27500</v>
      </c>
      <c r="R269" s="350">
        <f t="shared" si="17"/>
        <v>100</v>
      </c>
    </row>
    <row r="270" spans="1:18" s="43" customFormat="1" ht="77.5" x14ac:dyDescent="0.35">
      <c r="A270" s="40"/>
      <c r="B270" s="158"/>
      <c r="C270" s="158"/>
      <c r="D270" s="158"/>
      <c r="E270" s="158"/>
      <c r="F270" s="159"/>
      <c r="G270" s="14" t="s">
        <v>632</v>
      </c>
      <c r="H270" s="51"/>
      <c r="I270" s="47" t="s">
        <v>403</v>
      </c>
      <c r="J270" s="48"/>
      <c r="K270" s="49">
        <f>K271</f>
        <v>51000</v>
      </c>
      <c r="L270" s="49"/>
      <c r="M270" s="225">
        <f t="shared" si="18"/>
        <v>51000</v>
      </c>
      <c r="N270" s="49">
        <f t="shared" si="18"/>
        <v>0</v>
      </c>
      <c r="O270" s="355">
        <f t="shared" si="18"/>
        <v>27500</v>
      </c>
      <c r="P270" s="353"/>
      <c r="Q270" s="353">
        <f t="shared" si="18"/>
        <v>27500</v>
      </c>
      <c r="R270" s="350">
        <f t="shared" si="17"/>
        <v>100</v>
      </c>
    </row>
    <row r="271" spans="1:18" s="43" customFormat="1" ht="46.5" x14ac:dyDescent="0.35">
      <c r="A271" s="40"/>
      <c r="B271" s="158"/>
      <c r="C271" s="158"/>
      <c r="D271" s="158"/>
      <c r="E271" s="158"/>
      <c r="F271" s="159"/>
      <c r="G271" s="63" t="s">
        <v>432</v>
      </c>
      <c r="H271" s="51"/>
      <c r="I271" s="64" t="s">
        <v>404</v>
      </c>
      <c r="J271" s="48"/>
      <c r="K271" s="49">
        <f>K272</f>
        <v>51000</v>
      </c>
      <c r="L271" s="49"/>
      <c r="M271" s="225">
        <f t="shared" si="18"/>
        <v>51000</v>
      </c>
      <c r="N271" s="49">
        <f t="shared" si="18"/>
        <v>0</v>
      </c>
      <c r="O271" s="359">
        <f t="shared" si="18"/>
        <v>27500</v>
      </c>
      <c r="P271" s="358"/>
      <c r="Q271" s="358">
        <f t="shared" si="18"/>
        <v>27500</v>
      </c>
      <c r="R271" s="350">
        <f t="shared" si="17"/>
        <v>100</v>
      </c>
    </row>
    <row r="272" spans="1:18" s="43" customFormat="1" ht="93" x14ac:dyDescent="0.35">
      <c r="A272" s="40"/>
      <c r="B272" s="158"/>
      <c r="C272" s="158"/>
      <c r="D272" s="158"/>
      <c r="E272" s="158"/>
      <c r="F272" s="159"/>
      <c r="G272" s="14" t="s">
        <v>633</v>
      </c>
      <c r="H272" s="51"/>
      <c r="I272" s="47" t="s">
        <v>405</v>
      </c>
      <c r="J272" s="48"/>
      <c r="K272" s="49">
        <f>K273</f>
        <v>51000</v>
      </c>
      <c r="L272" s="49"/>
      <c r="M272" s="225">
        <f t="shared" si="18"/>
        <v>51000</v>
      </c>
      <c r="N272" s="49">
        <f t="shared" si="18"/>
        <v>0</v>
      </c>
      <c r="O272" s="355">
        <f t="shared" si="18"/>
        <v>27500</v>
      </c>
      <c r="P272" s="353"/>
      <c r="Q272" s="353">
        <f t="shared" si="18"/>
        <v>27500</v>
      </c>
      <c r="R272" s="350">
        <f t="shared" si="17"/>
        <v>100</v>
      </c>
    </row>
    <row r="273" spans="1:18" s="43" customFormat="1" ht="46.5" x14ac:dyDescent="0.35">
      <c r="A273" s="40"/>
      <c r="B273" s="158"/>
      <c r="C273" s="158"/>
      <c r="D273" s="158"/>
      <c r="E273" s="158"/>
      <c r="F273" s="159"/>
      <c r="G273" s="51" t="s">
        <v>4</v>
      </c>
      <c r="H273" s="51"/>
      <c r="I273" s="47"/>
      <c r="J273" s="48">
        <v>600</v>
      </c>
      <c r="K273" s="49">
        <v>51000</v>
      </c>
      <c r="L273" s="49"/>
      <c r="M273" s="225">
        <v>51000</v>
      </c>
      <c r="N273" s="49"/>
      <c r="O273" s="355">
        <f>51000-23500</f>
        <v>27500</v>
      </c>
      <c r="P273" s="353"/>
      <c r="Q273" s="353">
        <v>27500</v>
      </c>
      <c r="R273" s="350">
        <f t="shared" si="17"/>
        <v>100</v>
      </c>
    </row>
    <row r="274" spans="1:18" ht="51" hidden="1" customHeight="1" x14ac:dyDescent="0.35">
      <c r="A274" s="4"/>
      <c r="B274" s="19"/>
      <c r="C274" s="19"/>
      <c r="D274" s="19"/>
      <c r="E274" s="19"/>
      <c r="F274" s="20"/>
      <c r="G274" s="115" t="s">
        <v>385</v>
      </c>
      <c r="H274" s="106"/>
      <c r="I274" s="60" t="s">
        <v>233</v>
      </c>
      <c r="J274" s="106"/>
      <c r="K274" s="107">
        <f>K275+K281</f>
        <v>34000</v>
      </c>
      <c r="L274" s="177"/>
      <c r="M274" s="221">
        <f>M275+M281</f>
        <v>34000</v>
      </c>
      <c r="N274" s="107"/>
      <c r="O274" s="354"/>
      <c r="P274" s="353"/>
      <c r="Q274" s="353"/>
      <c r="R274" s="350" t="e">
        <f t="shared" si="17"/>
        <v>#DIV/0!</v>
      </c>
    </row>
    <row r="275" spans="1:18" ht="63.75" hidden="1" customHeight="1" x14ac:dyDescent="0.35">
      <c r="A275" s="4"/>
      <c r="B275" s="19"/>
      <c r="C275" s="19"/>
      <c r="D275" s="19"/>
      <c r="E275" s="19"/>
      <c r="F275" s="20"/>
      <c r="G275" s="51" t="s">
        <v>386</v>
      </c>
      <c r="H275" s="51"/>
      <c r="I275" s="47" t="s">
        <v>245</v>
      </c>
      <c r="J275" s="118"/>
      <c r="K275" s="49">
        <f>K276</f>
        <v>0</v>
      </c>
      <c r="L275" s="168"/>
      <c r="M275" s="225">
        <f>M276</f>
        <v>0</v>
      </c>
      <c r="N275" s="49"/>
      <c r="O275" s="354"/>
      <c r="P275" s="353"/>
      <c r="Q275" s="353"/>
      <c r="R275" s="350" t="e">
        <f t="shared" si="17"/>
        <v>#DIV/0!</v>
      </c>
    </row>
    <row r="276" spans="1:18" ht="51" hidden="1" customHeight="1" x14ac:dyDescent="0.35">
      <c r="A276" s="4"/>
      <c r="B276" s="401" t="s">
        <v>39</v>
      </c>
      <c r="C276" s="401"/>
      <c r="D276" s="401"/>
      <c r="E276" s="401"/>
      <c r="F276" s="402"/>
      <c r="G276" s="63" t="s">
        <v>248</v>
      </c>
      <c r="H276" s="51"/>
      <c r="I276" s="64" t="s">
        <v>246</v>
      </c>
      <c r="J276" s="118"/>
      <c r="K276" s="49">
        <f>K277</f>
        <v>0</v>
      </c>
      <c r="L276" s="168"/>
      <c r="M276" s="225">
        <f>M277</f>
        <v>0</v>
      </c>
      <c r="N276" s="49"/>
      <c r="O276" s="357"/>
      <c r="P276" s="353"/>
      <c r="Q276" s="353"/>
      <c r="R276" s="350" t="e">
        <f t="shared" si="17"/>
        <v>#DIV/0!</v>
      </c>
    </row>
    <row r="277" spans="1:18" ht="77.25" hidden="1" customHeight="1" x14ac:dyDescent="0.35">
      <c r="A277" s="4"/>
      <c r="B277" s="12"/>
      <c r="C277" s="12"/>
      <c r="D277" s="12"/>
      <c r="E277" s="12"/>
      <c r="F277" s="13"/>
      <c r="G277" s="51" t="s">
        <v>384</v>
      </c>
      <c r="H277" s="51"/>
      <c r="I277" s="47" t="s">
        <v>247</v>
      </c>
      <c r="J277" s="118"/>
      <c r="K277" s="49">
        <f>K278+K279</f>
        <v>0</v>
      </c>
      <c r="L277" s="168"/>
      <c r="M277" s="225">
        <f>M278+M279</f>
        <v>0</v>
      </c>
      <c r="N277" s="49"/>
      <c r="O277" s="357"/>
      <c r="P277" s="353"/>
      <c r="Q277" s="353"/>
      <c r="R277" s="350" t="e">
        <f t="shared" si="17"/>
        <v>#DIV/0!</v>
      </c>
    </row>
    <row r="278" spans="1:18" ht="37.5" hidden="1" customHeight="1" x14ac:dyDescent="0.35">
      <c r="A278" s="4"/>
      <c r="B278" s="12"/>
      <c r="C278" s="12"/>
      <c r="D278" s="12"/>
      <c r="E278" s="12"/>
      <c r="F278" s="13"/>
      <c r="G278" s="51" t="s">
        <v>2</v>
      </c>
      <c r="H278" s="51"/>
      <c r="I278" s="64"/>
      <c r="J278" s="48">
        <v>200</v>
      </c>
      <c r="K278" s="49">
        <v>0</v>
      </c>
      <c r="L278" s="49"/>
      <c r="M278" s="225">
        <v>0</v>
      </c>
      <c r="N278" s="49"/>
      <c r="O278" s="357"/>
      <c r="P278" s="353"/>
      <c r="Q278" s="353"/>
      <c r="R278" s="350" t="e">
        <f t="shared" si="17"/>
        <v>#DIV/0!</v>
      </c>
    </row>
    <row r="279" spans="1:18" ht="42.75" hidden="1" customHeight="1" x14ac:dyDescent="0.35">
      <c r="A279" s="4"/>
      <c r="B279" s="12"/>
      <c r="C279" s="12"/>
      <c r="D279" s="12"/>
      <c r="E279" s="12"/>
      <c r="F279" s="13"/>
      <c r="G279" s="51" t="s">
        <v>4</v>
      </c>
      <c r="H279" s="51"/>
      <c r="I279" s="64"/>
      <c r="J279" s="48">
        <v>600</v>
      </c>
      <c r="K279" s="49"/>
      <c r="L279" s="49"/>
      <c r="M279" s="225"/>
      <c r="N279" s="49"/>
      <c r="O279" s="357"/>
      <c r="P279" s="353"/>
      <c r="Q279" s="353"/>
      <c r="R279" s="350" t="e">
        <f t="shared" si="17"/>
        <v>#DIV/0!</v>
      </c>
    </row>
    <row r="280" spans="1:18" ht="30" x14ac:dyDescent="0.35">
      <c r="A280" s="4"/>
      <c r="B280" s="12"/>
      <c r="C280" s="12"/>
      <c r="D280" s="12"/>
      <c r="E280" s="12"/>
      <c r="F280" s="13"/>
      <c r="G280" s="2" t="s">
        <v>636</v>
      </c>
      <c r="H280" s="51"/>
      <c r="I280" s="60" t="s">
        <v>406</v>
      </c>
      <c r="J280" s="48"/>
      <c r="K280" s="49">
        <f>K281</f>
        <v>34000</v>
      </c>
      <c r="L280" s="49"/>
      <c r="M280" s="225">
        <f>M281</f>
        <v>34000</v>
      </c>
      <c r="N280" s="49">
        <f>N281</f>
        <v>0</v>
      </c>
      <c r="O280" s="354">
        <f>O281</f>
        <v>21400</v>
      </c>
      <c r="P280" s="353"/>
      <c r="Q280" s="352">
        <f>Q281</f>
        <v>21400</v>
      </c>
      <c r="R280" s="350">
        <f t="shared" si="17"/>
        <v>100</v>
      </c>
    </row>
    <row r="281" spans="1:18" ht="46.5" x14ac:dyDescent="0.35">
      <c r="A281" s="4"/>
      <c r="B281" s="12"/>
      <c r="C281" s="12"/>
      <c r="D281" s="12"/>
      <c r="E281" s="12"/>
      <c r="F281" s="13"/>
      <c r="G281" s="14" t="s">
        <v>637</v>
      </c>
      <c r="H281" s="115"/>
      <c r="I281" s="47" t="s">
        <v>407</v>
      </c>
      <c r="J281" s="116" t="s">
        <v>0</v>
      </c>
      <c r="K281" s="49">
        <f>K283</f>
        <v>34000</v>
      </c>
      <c r="L281" s="121"/>
      <c r="M281" s="225">
        <f>M283</f>
        <v>34000</v>
      </c>
      <c r="N281" s="49">
        <f>N283</f>
        <v>0</v>
      </c>
      <c r="O281" s="355">
        <f>O283</f>
        <v>21400</v>
      </c>
      <c r="P281" s="353"/>
      <c r="Q281" s="353">
        <f>Q283</f>
        <v>21400</v>
      </c>
      <c r="R281" s="350">
        <f t="shared" si="17"/>
        <v>100</v>
      </c>
    </row>
    <row r="282" spans="1:18" ht="46.5" x14ac:dyDescent="0.35">
      <c r="A282" s="4"/>
      <c r="B282" s="12"/>
      <c r="C282" s="12"/>
      <c r="D282" s="12"/>
      <c r="E282" s="12"/>
      <c r="F282" s="13"/>
      <c r="G282" s="63" t="s">
        <v>251</v>
      </c>
      <c r="H282" s="63"/>
      <c r="I282" s="64" t="s">
        <v>408</v>
      </c>
      <c r="J282" s="116"/>
      <c r="K282" s="49">
        <f>K283</f>
        <v>34000</v>
      </c>
      <c r="L282" s="121"/>
      <c r="M282" s="225">
        <f>M283</f>
        <v>34000</v>
      </c>
      <c r="N282" s="49">
        <f>N283</f>
        <v>0</v>
      </c>
      <c r="O282" s="359">
        <f>O283</f>
        <v>21400</v>
      </c>
      <c r="P282" s="358"/>
      <c r="Q282" s="358">
        <f>Q283</f>
        <v>21400</v>
      </c>
      <c r="R282" s="350">
        <f t="shared" si="17"/>
        <v>100</v>
      </c>
    </row>
    <row r="283" spans="1:18" ht="46.5" x14ac:dyDescent="0.35">
      <c r="A283" s="4"/>
      <c r="B283" s="399" t="s">
        <v>38</v>
      </c>
      <c r="C283" s="399"/>
      <c r="D283" s="399"/>
      <c r="E283" s="399"/>
      <c r="F283" s="400"/>
      <c r="G283" s="14" t="s">
        <v>638</v>
      </c>
      <c r="H283" s="51"/>
      <c r="I283" s="47" t="s">
        <v>409</v>
      </c>
      <c r="J283" s="48"/>
      <c r="K283" s="49">
        <f>K284+K285</f>
        <v>34000</v>
      </c>
      <c r="L283" s="49"/>
      <c r="M283" s="225">
        <f>M284+M285</f>
        <v>34000</v>
      </c>
      <c r="N283" s="49">
        <f>N284+N285</f>
        <v>0</v>
      </c>
      <c r="O283" s="355">
        <f>O284+O285</f>
        <v>21400</v>
      </c>
      <c r="P283" s="353"/>
      <c r="Q283" s="353">
        <f>Q284+Q285</f>
        <v>21400</v>
      </c>
      <c r="R283" s="350">
        <f t="shared" si="17"/>
        <v>100</v>
      </c>
    </row>
    <row r="284" spans="1:18" ht="45" hidden="1" customHeight="1" x14ac:dyDescent="0.35">
      <c r="A284" s="4"/>
      <c r="B284" s="401" t="s">
        <v>37</v>
      </c>
      <c r="C284" s="401"/>
      <c r="D284" s="401"/>
      <c r="E284" s="401"/>
      <c r="F284" s="402"/>
      <c r="G284" s="51" t="s">
        <v>2</v>
      </c>
      <c r="H284" s="51"/>
      <c r="I284" s="52"/>
      <c r="J284" s="48">
        <v>200</v>
      </c>
      <c r="K284" s="49">
        <v>0</v>
      </c>
      <c r="L284" s="49"/>
      <c r="M284" s="225">
        <v>0</v>
      </c>
      <c r="N284" s="49"/>
      <c r="O284" s="355"/>
      <c r="P284" s="353"/>
      <c r="Q284" s="353"/>
      <c r="R284" s="350" t="e">
        <f t="shared" si="17"/>
        <v>#DIV/0!</v>
      </c>
    </row>
    <row r="285" spans="1:18" ht="46.5" x14ac:dyDescent="0.35">
      <c r="A285" s="4"/>
      <c r="B285" s="12"/>
      <c r="C285" s="12"/>
      <c r="D285" s="12"/>
      <c r="E285" s="12"/>
      <c r="F285" s="13"/>
      <c r="G285" s="51" t="s">
        <v>4</v>
      </c>
      <c r="H285" s="51"/>
      <c r="I285" s="52"/>
      <c r="J285" s="48">
        <v>600</v>
      </c>
      <c r="K285" s="49">
        <v>34000</v>
      </c>
      <c r="L285" s="49"/>
      <c r="M285" s="225">
        <v>34000</v>
      </c>
      <c r="N285" s="49"/>
      <c r="O285" s="355">
        <f>34000-12600</f>
        <v>21400</v>
      </c>
      <c r="P285" s="353"/>
      <c r="Q285" s="353">
        <v>21400</v>
      </c>
      <c r="R285" s="350">
        <f t="shared" si="17"/>
        <v>100</v>
      </c>
    </row>
    <row r="286" spans="1:18" x14ac:dyDescent="0.35">
      <c r="A286" s="4"/>
      <c r="B286" s="384" t="s">
        <v>36</v>
      </c>
      <c r="C286" s="384"/>
      <c r="D286" s="384"/>
      <c r="E286" s="384"/>
      <c r="F286" s="385"/>
      <c r="G286" s="115" t="s">
        <v>8</v>
      </c>
      <c r="H286" s="51"/>
      <c r="I286" s="60" t="s">
        <v>293</v>
      </c>
      <c r="J286" s="48"/>
      <c r="K286" s="49">
        <f>K290+K294</f>
        <v>2820753</v>
      </c>
      <c r="L286" s="49"/>
      <c r="M286" s="225">
        <f>M290+M294</f>
        <v>2820653</v>
      </c>
      <c r="N286" s="49">
        <f>N290+N294</f>
        <v>0</v>
      </c>
      <c r="O286" s="354">
        <f>O290+O294+O287</f>
        <v>3038721</v>
      </c>
      <c r="P286" s="353"/>
      <c r="Q286" s="352">
        <f>Q290+Q294+Q287</f>
        <v>3010562.71</v>
      </c>
      <c r="R286" s="350">
        <f t="shared" si="17"/>
        <v>99.07335059717559</v>
      </c>
    </row>
    <row r="287" spans="1:18" ht="31" x14ac:dyDescent="0.35">
      <c r="A287" s="4"/>
      <c r="B287" s="337"/>
      <c r="C287" s="337"/>
      <c r="D287" s="337"/>
      <c r="E287" s="337"/>
      <c r="F287" s="338"/>
      <c r="G287" s="51" t="s">
        <v>622</v>
      </c>
      <c r="H287" s="51"/>
      <c r="I287" s="3" t="s">
        <v>723</v>
      </c>
      <c r="J287" s="48"/>
      <c r="K287" s="49"/>
      <c r="L287" s="49"/>
      <c r="M287" s="225"/>
      <c r="N287" s="49"/>
      <c r="O287" s="355">
        <f>O288+O289</f>
        <v>213528</v>
      </c>
      <c r="P287" s="353"/>
      <c r="Q287" s="353">
        <f>Q288+Q289</f>
        <v>213528</v>
      </c>
      <c r="R287" s="350">
        <f t="shared" si="17"/>
        <v>100</v>
      </c>
    </row>
    <row r="288" spans="1:18" ht="77.5" x14ac:dyDescent="0.35">
      <c r="A288" s="4"/>
      <c r="B288" s="337"/>
      <c r="C288" s="337"/>
      <c r="D288" s="337"/>
      <c r="E288" s="337"/>
      <c r="F288" s="338"/>
      <c r="G288" s="51" t="s">
        <v>3</v>
      </c>
      <c r="H288" s="51"/>
      <c r="I288" s="60"/>
      <c r="J288" s="48">
        <v>100</v>
      </c>
      <c r="K288" s="49"/>
      <c r="L288" s="49"/>
      <c r="M288" s="225"/>
      <c r="N288" s="49"/>
      <c r="O288" s="355">
        <v>41664</v>
      </c>
      <c r="P288" s="353"/>
      <c r="Q288" s="353">
        <v>41664</v>
      </c>
      <c r="R288" s="350">
        <f t="shared" si="17"/>
        <v>100</v>
      </c>
    </row>
    <row r="289" spans="1:18" ht="46.5" x14ac:dyDescent="0.35">
      <c r="A289" s="4"/>
      <c r="B289" s="337"/>
      <c r="C289" s="337"/>
      <c r="D289" s="337"/>
      <c r="E289" s="337"/>
      <c r="F289" s="338"/>
      <c r="G289" s="51" t="s">
        <v>4</v>
      </c>
      <c r="H289" s="51"/>
      <c r="I289" s="60"/>
      <c r="J289" s="48">
        <v>600</v>
      </c>
      <c r="K289" s="49"/>
      <c r="L289" s="49"/>
      <c r="M289" s="225"/>
      <c r="N289" s="49"/>
      <c r="O289" s="355">
        <v>171864</v>
      </c>
      <c r="P289" s="353"/>
      <c r="Q289" s="353">
        <v>171864</v>
      </c>
      <c r="R289" s="350">
        <f t="shared" si="17"/>
        <v>100</v>
      </c>
    </row>
    <row r="290" spans="1:18" ht="31" x14ac:dyDescent="0.35">
      <c r="A290" s="4"/>
      <c r="B290" s="384">
        <v>200</v>
      </c>
      <c r="C290" s="384"/>
      <c r="D290" s="384"/>
      <c r="E290" s="384"/>
      <c r="F290" s="385"/>
      <c r="G290" s="51" t="s">
        <v>78</v>
      </c>
      <c r="H290" s="51"/>
      <c r="I290" s="47" t="s">
        <v>302</v>
      </c>
      <c r="J290" s="48"/>
      <c r="K290" s="49">
        <f>K291+K292+K293</f>
        <v>2342000</v>
      </c>
      <c r="L290" s="49"/>
      <c r="M290" s="225">
        <f>M291+M292+M293</f>
        <v>2341900</v>
      </c>
      <c r="N290" s="49">
        <f>N291+N292+N293</f>
        <v>0</v>
      </c>
      <c r="O290" s="355">
        <f>O291+O292+O293</f>
        <v>2297841</v>
      </c>
      <c r="P290" s="353"/>
      <c r="Q290" s="353">
        <f>Q291+Q292+Q293</f>
        <v>2269682.71</v>
      </c>
      <c r="R290" s="350">
        <f t="shared" si="17"/>
        <v>98.774576221766424</v>
      </c>
    </row>
    <row r="291" spans="1:18" ht="77.5" x14ac:dyDescent="0.35">
      <c r="A291" s="4"/>
      <c r="B291" s="399" t="s">
        <v>35</v>
      </c>
      <c r="C291" s="399"/>
      <c r="D291" s="399"/>
      <c r="E291" s="399"/>
      <c r="F291" s="400"/>
      <c r="G291" s="51" t="s">
        <v>3</v>
      </c>
      <c r="H291" s="51"/>
      <c r="I291" s="47"/>
      <c r="J291" s="48">
        <v>100</v>
      </c>
      <c r="K291" s="49">
        <v>2301500</v>
      </c>
      <c r="L291" s="49"/>
      <c r="M291" s="225">
        <v>2301400</v>
      </c>
      <c r="N291" s="49"/>
      <c r="O291" s="353">
        <v>2165576</v>
      </c>
      <c r="P291" s="353"/>
      <c r="Q291" s="353">
        <v>2142194.31</v>
      </c>
      <c r="R291" s="350">
        <f t="shared" si="17"/>
        <v>98.920301573345853</v>
      </c>
    </row>
    <row r="292" spans="1:18" ht="31" x14ac:dyDescent="0.35">
      <c r="A292" s="4"/>
      <c r="B292" s="19"/>
      <c r="C292" s="19"/>
      <c r="D292" s="19"/>
      <c r="E292" s="19"/>
      <c r="F292" s="20"/>
      <c r="G292" s="51" t="s">
        <v>2</v>
      </c>
      <c r="H292" s="51"/>
      <c r="I292" s="47"/>
      <c r="J292" s="48">
        <v>200</v>
      </c>
      <c r="K292" s="49">
        <v>40500</v>
      </c>
      <c r="L292" s="49"/>
      <c r="M292" s="225">
        <v>40000</v>
      </c>
      <c r="N292" s="49"/>
      <c r="O292" s="353">
        <v>36100</v>
      </c>
      <c r="P292" s="353"/>
      <c r="Q292" s="353">
        <v>31324.13</v>
      </c>
      <c r="R292" s="350">
        <f t="shared" si="17"/>
        <v>86.770443213296403</v>
      </c>
    </row>
    <row r="293" spans="1:18" ht="31" x14ac:dyDescent="0.35">
      <c r="A293" s="4"/>
      <c r="B293" s="19"/>
      <c r="C293" s="19"/>
      <c r="D293" s="19"/>
      <c r="E293" s="19"/>
      <c r="F293" s="20"/>
      <c r="G293" s="51" t="s">
        <v>5</v>
      </c>
      <c r="H293" s="51"/>
      <c r="I293" s="47"/>
      <c r="J293" s="48">
        <v>300</v>
      </c>
      <c r="K293" s="49"/>
      <c r="L293" s="49"/>
      <c r="M293" s="225">
        <v>500</v>
      </c>
      <c r="N293" s="49"/>
      <c r="O293" s="355">
        <v>96165</v>
      </c>
      <c r="P293" s="353"/>
      <c r="Q293" s="353">
        <v>96164.27</v>
      </c>
      <c r="R293" s="350">
        <f t="shared" si="17"/>
        <v>99.999240888056988</v>
      </c>
    </row>
    <row r="294" spans="1:18" s="43" customFormat="1" ht="31" x14ac:dyDescent="0.35">
      <c r="A294" s="40"/>
      <c r="B294" s="82"/>
      <c r="C294" s="82"/>
      <c r="D294" s="82"/>
      <c r="E294" s="82"/>
      <c r="F294" s="83"/>
      <c r="G294" s="51" t="s">
        <v>73</v>
      </c>
      <c r="H294" s="51"/>
      <c r="I294" s="47" t="s">
        <v>305</v>
      </c>
      <c r="J294" s="48" t="s">
        <v>0</v>
      </c>
      <c r="K294" s="49">
        <f>K295+K296</f>
        <v>478753</v>
      </c>
      <c r="L294" s="49">
        <f>L295+L296</f>
        <v>0</v>
      </c>
      <c r="M294" s="225">
        <f>M295+M296</f>
        <v>478753</v>
      </c>
      <c r="N294" s="49">
        <f>N295+N296</f>
        <v>0</v>
      </c>
      <c r="O294" s="355">
        <f>O295+O296</f>
        <v>527352</v>
      </c>
      <c r="P294" s="353"/>
      <c r="Q294" s="353">
        <f>Q295+Q296</f>
        <v>527352</v>
      </c>
      <c r="R294" s="350">
        <f t="shared" si="17"/>
        <v>100</v>
      </c>
    </row>
    <row r="295" spans="1:18" s="43" customFormat="1" ht="77.5" x14ac:dyDescent="0.35">
      <c r="A295" s="40"/>
      <c r="B295" s="82"/>
      <c r="C295" s="82"/>
      <c r="D295" s="82"/>
      <c r="E295" s="82"/>
      <c r="F295" s="83"/>
      <c r="G295" s="51" t="s">
        <v>3</v>
      </c>
      <c r="H295" s="51"/>
      <c r="I295" s="47" t="s">
        <v>0</v>
      </c>
      <c r="J295" s="48">
        <v>100</v>
      </c>
      <c r="K295" s="49">
        <v>416245</v>
      </c>
      <c r="L295" s="49">
        <v>37039</v>
      </c>
      <c r="M295" s="225">
        <f>L295+K295</f>
        <v>453284</v>
      </c>
      <c r="N295" s="49"/>
      <c r="O295" s="353">
        <f>471884+18101+7192+8575+3506.88+1004.12</f>
        <v>510263</v>
      </c>
      <c r="P295" s="353"/>
      <c r="Q295" s="353">
        <v>510263</v>
      </c>
      <c r="R295" s="350">
        <f t="shared" si="17"/>
        <v>100</v>
      </c>
    </row>
    <row r="296" spans="1:18" s="43" customFormat="1" ht="31" x14ac:dyDescent="0.35">
      <c r="A296" s="40"/>
      <c r="B296" s="405" t="s">
        <v>34</v>
      </c>
      <c r="C296" s="405"/>
      <c r="D296" s="405"/>
      <c r="E296" s="405"/>
      <c r="F296" s="406"/>
      <c r="G296" s="51" t="s">
        <v>2</v>
      </c>
      <c r="H296" s="51"/>
      <c r="I296" s="47"/>
      <c r="J296" s="48">
        <v>200</v>
      </c>
      <c r="K296" s="49">
        <v>62508</v>
      </c>
      <c r="L296" s="49">
        <v>-37039</v>
      </c>
      <c r="M296" s="225">
        <f>L296+K296</f>
        <v>25469</v>
      </c>
      <c r="N296" s="49"/>
      <c r="O296" s="353">
        <f>28792-7192-4511</f>
        <v>17089</v>
      </c>
      <c r="P296" s="353"/>
      <c r="Q296" s="353">
        <v>17089</v>
      </c>
      <c r="R296" s="350">
        <f t="shared" si="17"/>
        <v>100</v>
      </c>
    </row>
    <row r="297" spans="1:18" ht="45" x14ac:dyDescent="0.35">
      <c r="A297" s="4"/>
      <c r="B297" s="384">
        <v>600</v>
      </c>
      <c r="C297" s="384"/>
      <c r="D297" s="384"/>
      <c r="E297" s="384"/>
      <c r="F297" s="385"/>
      <c r="G297" s="115" t="s">
        <v>366</v>
      </c>
      <c r="H297" s="120">
        <v>805</v>
      </c>
      <c r="I297" s="47"/>
      <c r="J297" s="48"/>
      <c r="K297" s="121">
        <f>K303+K312+K298</f>
        <v>16402511</v>
      </c>
      <c r="L297" s="121">
        <f>L303+L312+L298</f>
        <v>0</v>
      </c>
      <c r="M297" s="226">
        <f>M303+M312+M298</f>
        <v>16545511</v>
      </c>
      <c r="N297" s="121">
        <f>N303+N312+N298</f>
        <v>0</v>
      </c>
      <c r="O297" s="354">
        <f>O303+O312+O298</f>
        <v>15085306</v>
      </c>
      <c r="P297" s="353"/>
      <c r="Q297" s="352">
        <f>Q303+Q312+Q298</f>
        <v>14839035.870000001</v>
      </c>
      <c r="R297" s="350">
        <f t="shared" si="17"/>
        <v>98.367483364275159</v>
      </c>
    </row>
    <row r="298" spans="1:18" ht="60.5" hidden="1" x14ac:dyDescent="0.35">
      <c r="A298" s="4"/>
      <c r="B298" s="15"/>
      <c r="C298" s="15"/>
      <c r="D298" s="15"/>
      <c r="E298" s="15"/>
      <c r="F298" s="16"/>
      <c r="G298" s="151" t="s">
        <v>561</v>
      </c>
      <c r="H298" s="120"/>
      <c r="I298" s="60" t="s">
        <v>272</v>
      </c>
      <c r="J298" s="48"/>
      <c r="K298" s="121">
        <f t="shared" ref="K298:Q301" si="19">K299</f>
        <v>2363511</v>
      </c>
      <c r="L298" s="121">
        <f t="shared" si="19"/>
        <v>0</v>
      </c>
      <c r="M298" s="226">
        <f t="shared" si="19"/>
        <v>2363511</v>
      </c>
      <c r="N298" s="121">
        <f t="shared" si="19"/>
        <v>0</v>
      </c>
      <c r="O298" s="354">
        <f t="shared" si="19"/>
        <v>0</v>
      </c>
      <c r="P298" s="353"/>
      <c r="Q298" s="352">
        <f t="shared" si="19"/>
        <v>0</v>
      </c>
      <c r="R298" s="350" t="e">
        <f t="shared" si="17"/>
        <v>#DIV/0!</v>
      </c>
    </row>
    <row r="299" spans="1:18" ht="60.5" hidden="1" x14ac:dyDescent="0.35">
      <c r="A299" s="4"/>
      <c r="B299" s="15"/>
      <c r="C299" s="15"/>
      <c r="D299" s="15"/>
      <c r="E299" s="15"/>
      <c r="F299" s="16"/>
      <c r="G299" s="65" t="s">
        <v>562</v>
      </c>
      <c r="H299" s="120"/>
      <c r="I299" s="47" t="s">
        <v>273</v>
      </c>
      <c r="J299" s="48"/>
      <c r="K299" s="49">
        <f t="shared" si="19"/>
        <v>2363511</v>
      </c>
      <c r="L299" s="49">
        <f t="shared" si="19"/>
        <v>0</v>
      </c>
      <c r="M299" s="225">
        <f t="shared" si="19"/>
        <v>2363511</v>
      </c>
      <c r="N299" s="49">
        <f t="shared" si="19"/>
        <v>0</v>
      </c>
      <c r="O299" s="355">
        <f t="shared" si="19"/>
        <v>0</v>
      </c>
      <c r="P299" s="353"/>
      <c r="Q299" s="352">
        <f t="shared" si="19"/>
        <v>0</v>
      </c>
      <c r="R299" s="350" t="e">
        <f t="shared" si="17"/>
        <v>#DIV/0!</v>
      </c>
    </row>
    <row r="300" spans="1:18" ht="46.5" hidden="1" x14ac:dyDescent="0.35">
      <c r="A300" s="4"/>
      <c r="B300" s="15"/>
      <c r="C300" s="15"/>
      <c r="D300" s="15"/>
      <c r="E300" s="15"/>
      <c r="F300" s="16"/>
      <c r="G300" s="114" t="s">
        <v>311</v>
      </c>
      <c r="H300" s="120"/>
      <c r="I300" s="64" t="s">
        <v>274</v>
      </c>
      <c r="J300" s="48"/>
      <c r="K300" s="49">
        <f t="shared" si="19"/>
        <v>2363511</v>
      </c>
      <c r="L300" s="49">
        <f t="shared" si="19"/>
        <v>0</v>
      </c>
      <c r="M300" s="225">
        <f t="shared" si="19"/>
        <v>2363511</v>
      </c>
      <c r="N300" s="49">
        <f t="shared" si="19"/>
        <v>0</v>
      </c>
      <c r="O300" s="355">
        <f t="shared" si="19"/>
        <v>0</v>
      </c>
      <c r="P300" s="353"/>
      <c r="Q300" s="352">
        <f t="shared" si="19"/>
        <v>0</v>
      </c>
      <c r="R300" s="350" t="e">
        <f t="shared" si="17"/>
        <v>#DIV/0!</v>
      </c>
    </row>
    <row r="301" spans="1:18" ht="46.5" hidden="1" x14ac:dyDescent="0.35">
      <c r="A301" s="4"/>
      <c r="B301" s="15"/>
      <c r="C301" s="15"/>
      <c r="D301" s="15"/>
      <c r="E301" s="15"/>
      <c r="F301" s="16"/>
      <c r="G301" s="66" t="s">
        <v>440</v>
      </c>
      <c r="H301" s="120"/>
      <c r="I301" s="47" t="s">
        <v>439</v>
      </c>
      <c r="J301" s="48"/>
      <c r="K301" s="49">
        <f t="shared" si="19"/>
        <v>2363511</v>
      </c>
      <c r="L301" s="49">
        <f t="shared" si="19"/>
        <v>0</v>
      </c>
      <c r="M301" s="225">
        <f t="shared" si="19"/>
        <v>2363511</v>
      </c>
      <c r="N301" s="49">
        <f t="shared" si="19"/>
        <v>0</v>
      </c>
      <c r="O301" s="355">
        <f t="shared" si="19"/>
        <v>0</v>
      </c>
      <c r="P301" s="353"/>
      <c r="Q301" s="352">
        <f t="shared" si="19"/>
        <v>0</v>
      </c>
      <c r="R301" s="350" t="e">
        <f t="shared" si="17"/>
        <v>#DIV/0!</v>
      </c>
    </row>
    <row r="302" spans="1:18" hidden="1" x14ac:dyDescent="0.35">
      <c r="A302" s="4"/>
      <c r="B302" s="15"/>
      <c r="C302" s="15"/>
      <c r="D302" s="15"/>
      <c r="E302" s="15"/>
      <c r="F302" s="16"/>
      <c r="G302" s="51" t="s">
        <v>6</v>
      </c>
      <c r="H302" s="120"/>
      <c r="I302" s="47"/>
      <c r="J302" s="48">
        <v>500</v>
      </c>
      <c r="K302" s="49">
        <v>2363511</v>
      </c>
      <c r="L302" s="49"/>
      <c r="M302" s="225">
        <f>K302+L302</f>
        <v>2363511</v>
      </c>
      <c r="N302" s="49"/>
      <c r="O302" s="354"/>
      <c r="P302" s="353"/>
      <c r="Q302" s="352"/>
      <c r="R302" s="350" t="e">
        <f t="shared" si="17"/>
        <v>#DIV/0!</v>
      </c>
    </row>
    <row r="303" spans="1:18" ht="56.5" customHeight="1" x14ac:dyDescent="0.35">
      <c r="A303" s="4"/>
      <c r="B303" s="383">
        <v>800</v>
      </c>
      <c r="C303" s="383"/>
      <c r="D303" s="383"/>
      <c r="E303" s="383"/>
      <c r="F303" s="375"/>
      <c r="G303" s="2" t="s">
        <v>644</v>
      </c>
      <c r="H303" s="115"/>
      <c r="I303" s="60" t="s">
        <v>289</v>
      </c>
      <c r="J303" s="116" t="s">
        <v>0</v>
      </c>
      <c r="K303" s="121">
        <f>K304</f>
        <v>6526000</v>
      </c>
      <c r="L303" s="121">
        <f>L304</f>
        <v>0</v>
      </c>
      <c r="M303" s="226">
        <f>M304</f>
        <v>7182000</v>
      </c>
      <c r="N303" s="121">
        <f>N304</f>
        <v>0</v>
      </c>
      <c r="O303" s="354">
        <f>O304+O308</f>
        <v>6560612</v>
      </c>
      <c r="P303" s="353"/>
      <c r="Q303" s="352">
        <f>Q304+Q308</f>
        <v>6560612</v>
      </c>
      <c r="R303" s="350">
        <f t="shared" si="17"/>
        <v>100</v>
      </c>
    </row>
    <row r="304" spans="1:18" ht="62" x14ac:dyDescent="0.35">
      <c r="A304" s="4"/>
      <c r="B304" s="373" t="s">
        <v>32</v>
      </c>
      <c r="C304" s="373"/>
      <c r="D304" s="373"/>
      <c r="E304" s="373"/>
      <c r="F304" s="374"/>
      <c r="G304" s="14" t="s">
        <v>645</v>
      </c>
      <c r="H304" s="51"/>
      <c r="I304" s="47" t="s">
        <v>290</v>
      </c>
      <c r="J304" s="48" t="s">
        <v>0</v>
      </c>
      <c r="K304" s="49">
        <f>K305+K309</f>
        <v>6526000</v>
      </c>
      <c r="L304" s="49">
        <f>L305+L309</f>
        <v>0</v>
      </c>
      <c r="M304" s="225">
        <f>M305+M309</f>
        <v>7182000</v>
      </c>
      <c r="N304" s="49">
        <f>N305+N309</f>
        <v>0</v>
      </c>
      <c r="O304" s="355">
        <f>O305</f>
        <v>5528000</v>
      </c>
      <c r="P304" s="353"/>
      <c r="Q304" s="353">
        <f>Q305</f>
        <v>5528000</v>
      </c>
      <c r="R304" s="350">
        <f t="shared" si="17"/>
        <v>100</v>
      </c>
    </row>
    <row r="305" spans="1:18" ht="46.5" x14ac:dyDescent="0.35">
      <c r="A305" s="4"/>
      <c r="B305" s="383">
        <v>300</v>
      </c>
      <c r="C305" s="383"/>
      <c r="D305" s="383"/>
      <c r="E305" s="383"/>
      <c r="F305" s="375"/>
      <c r="G305" s="63" t="s">
        <v>585</v>
      </c>
      <c r="H305" s="63"/>
      <c r="I305" s="64" t="s">
        <v>291</v>
      </c>
      <c r="J305" s="48"/>
      <c r="K305" s="49">
        <f>K306</f>
        <v>5676000</v>
      </c>
      <c r="L305" s="49"/>
      <c r="M305" s="225">
        <f t="shared" ref="M305:Q306" si="20">M306</f>
        <v>6332000</v>
      </c>
      <c r="N305" s="49">
        <f t="shared" si="20"/>
        <v>0</v>
      </c>
      <c r="O305" s="359">
        <f t="shared" si="20"/>
        <v>5528000</v>
      </c>
      <c r="P305" s="358"/>
      <c r="Q305" s="358">
        <f t="shared" si="20"/>
        <v>5528000</v>
      </c>
      <c r="R305" s="350">
        <f t="shared" si="17"/>
        <v>100</v>
      </c>
    </row>
    <row r="306" spans="1:18" ht="46.5" x14ac:dyDescent="0.35">
      <c r="A306" s="4"/>
      <c r="B306" s="373" t="s">
        <v>31</v>
      </c>
      <c r="C306" s="373"/>
      <c r="D306" s="373"/>
      <c r="E306" s="373"/>
      <c r="F306" s="374"/>
      <c r="G306" s="51" t="s">
        <v>500</v>
      </c>
      <c r="H306" s="51"/>
      <c r="I306" s="47" t="s">
        <v>292</v>
      </c>
      <c r="J306" s="48"/>
      <c r="K306" s="49">
        <f>K307</f>
        <v>5676000</v>
      </c>
      <c r="L306" s="49"/>
      <c r="M306" s="225">
        <f t="shared" si="20"/>
        <v>6332000</v>
      </c>
      <c r="N306" s="49">
        <f t="shared" si="20"/>
        <v>0</v>
      </c>
      <c r="O306" s="355">
        <f t="shared" si="20"/>
        <v>5528000</v>
      </c>
      <c r="P306" s="353"/>
      <c r="Q306" s="353">
        <f t="shared" si="20"/>
        <v>5528000</v>
      </c>
      <c r="R306" s="350">
        <f t="shared" si="17"/>
        <v>100</v>
      </c>
    </row>
    <row r="307" spans="1:18" x14ac:dyDescent="0.35">
      <c r="A307" s="4"/>
      <c r="B307" s="17"/>
      <c r="C307" s="17"/>
      <c r="D307" s="17"/>
      <c r="E307" s="17"/>
      <c r="F307" s="18"/>
      <c r="G307" s="51" t="s">
        <v>6</v>
      </c>
      <c r="H307" s="51"/>
      <c r="I307" s="47"/>
      <c r="J307" s="48">
        <v>500</v>
      </c>
      <c r="K307" s="49">
        <v>5676000</v>
      </c>
      <c r="L307" s="49"/>
      <c r="M307" s="225">
        <v>6332000</v>
      </c>
      <c r="N307" s="49"/>
      <c r="O307" s="355">
        <v>5528000</v>
      </c>
      <c r="P307" s="353"/>
      <c r="Q307" s="353">
        <v>5528000</v>
      </c>
      <c r="R307" s="350">
        <f t="shared" si="17"/>
        <v>100</v>
      </c>
    </row>
    <row r="308" spans="1:18" ht="62" x14ac:dyDescent="0.35">
      <c r="A308" s="4"/>
      <c r="B308" s="266"/>
      <c r="C308" s="266"/>
      <c r="D308" s="266"/>
      <c r="E308" s="266"/>
      <c r="F308" s="267"/>
      <c r="G308" s="14" t="s">
        <v>646</v>
      </c>
      <c r="H308" s="51"/>
      <c r="I308" s="47" t="s">
        <v>586</v>
      </c>
      <c r="J308" s="48"/>
      <c r="K308" s="49"/>
      <c r="L308" s="49"/>
      <c r="M308" s="225"/>
      <c r="N308" s="49"/>
      <c r="O308" s="355">
        <f>O309</f>
        <v>1032612</v>
      </c>
      <c r="P308" s="353"/>
      <c r="Q308" s="353">
        <f>Q309</f>
        <v>1032612</v>
      </c>
      <c r="R308" s="350">
        <f>Q308/O308*100</f>
        <v>100</v>
      </c>
    </row>
    <row r="309" spans="1:18" ht="46.5" x14ac:dyDescent="0.35">
      <c r="A309" s="4"/>
      <c r="B309" s="17"/>
      <c r="C309" s="17"/>
      <c r="D309" s="17"/>
      <c r="E309" s="17"/>
      <c r="F309" s="18"/>
      <c r="G309" s="63" t="s">
        <v>589</v>
      </c>
      <c r="H309" s="51"/>
      <c r="I309" s="64" t="s">
        <v>587</v>
      </c>
      <c r="J309" s="48"/>
      <c r="K309" s="49">
        <f t="shared" ref="K309:N310" si="21">K310</f>
        <v>850000</v>
      </c>
      <c r="L309" s="49">
        <f t="shared" si="21"/>
        <v>0</v>
      </c>
      <c r="M309" s="225">
        <f t="shared" si="21"/>
        <v>850000</v>
      </c>
      <c r="N309" s="49">
        <f t="shared" si="21"/>
        <v>0</v>
      </c>
      <c r="O309" s="359">
        <f>O310</f>
        <v>1032612</v>
      </c>
      <c r="P309" s="358"/>
      <c r="Q309" s="358">
        <f>Q310</f>
        <v>1032612</v>
      </c>
      <c r="R309" s="350">
        <f>Q309/O309*100</f>
        <v>100</v>
      </c>
    </row>
    <row r="310" spans="1:18" ht="65.150000000000006" customHeight="1" x14ac:dyDescent="0.35">
      <c r="A310" s="4"/>
      <c r="B310" s="17"/>
      <c r="C310" s="17"/>
      <c r="D310" s="17"/>
      <c r="E310" s="17"/>
      <c r="F310" s="18"/>
      <c r="G310" s="51" t="s">
        <v>335</v>
      </c>
      <c r="H310" s="51"/>
      <c r="I310" s="47" t="s">
        <v>588</v>
      </c>
      <c r="J310" s="48"/>
      <c r="K310" s="49">
        <f t="shared" si="21"/>
        <v>850000</v>
      </c>
      <c r="L310" s="49">
        <f t="shared" si="21"/>
        <v>0</v>
      </c>
      <c r="M310" s="225">
        <f t="shared" si="21"/>
        <v>850000</v>
      </c>
      <c r="N310" s="49">
        <f t="shared" si="21"/>
        <v>0</v>
      </c>
      <c r="O310" s="355">
        <f>O311</f>
        <v>1032612</v>
      </c>
      <c r="P310" s="353"/>
      <c r="Q310" s="353">
        <f>Q311</f>
        <v>1032612</v>
      </c>
      <c r="R310" s="350">
        <f>Q310/O310*100</f>
        <v>100</v>
      </c>
    </row>
    <row r="311" spans="1:18" ht="31" x14ac:dyDescent="0.35">
      <c r="A311" s="4"/>
      <c r="B311" s="17"/>
      <c r="C311" s="17"/>
      <c r="D311" s="17"/>
      <c r="E311" s="17"/>
      <c r="F311" s="18"/>
      <c r="G311" s="51" t="s">
        <v>2</v>
      </c>
      <c r="H311" s="51"/>
      <c r="I311" s="47"/>
      <c r="J311" s="48">
        <v>200</v>
      </c>
      <c r="K311" s="49">
        <v>850000</v>
      </c>
      <c r="L311" s="49"/>
      <c r="M311" s="225">
        <f>K311+L311</f>
        <v>850000</v>
      </c>
      <c r="N311" s="49"/>
      <c r="O311" s="355">
        <v>1032612</v>
      </c>
      <c r="P311" s="353"/>
      <c r="Q311" s="353">
        <v>1032612</v>
      </c>
      <c r="R311" s="350">
        <f t="shared" si="17"/>
        <v>100</v>
      </c>
    </row>
    <row r="312" spans="1:18" x14ac:dyDescent="0.35">
      <c r="A312" s="4"/>
      <c r="B312" s="17"/>
      <c r="C312" s="17"/>
      <c r="D312" s="17"/>
      <c r="E312" s="17"/>
      <c r="F312" s="18"/>
      <c r="G312" s="115" t="s">
        <v>8</v>
      </c>
      <c r="H312" s="115"/>
      <c r="I312" s="60" t="s">
        <v>293</v>
      </c>
      <c r="J312" s="116" t="s">
        <v>0</v>
      </c>
      <c r="K312" s="121">
        <f>K315</f>
        <v>7513000</v>
      </c>
      <c r="L312" s="121"/>
      <c r="M312" s="226">
        <f>M315</f>
        <v>7000000</v>
      </c>
      <c r="N312" s="121">
        <f>N315</f>
        <v>0</v>
      </c>
      <c r="O312" s="354">
        <f>O315+O320+O313</f>
        <v>8524694</v>
      </c>
      <c r="P312" s="353"/>
      <c r="Q312" s="352">
        <f>Q315+Q320+Q313</f>
        <v>8278423.870000001</v>
      </c>
      <c r="R312" s="350">
        <f t="shared" si="17"/>
        <v>97.111097125597709</v>
      </c>
    </row>
    <row r="313" spans="1:18" ht="31" x14ac:dyDescent="0.35">
      <c r="A313" s="4"/>
      <c r="B313" s="335"/>
      <c r="C313" s="335"/>
      <c r="D313" s="335"/>
      <c r="E313" s="335"/>
      <c r="F313" s="336"/>
      <c r="G313" s="51" t="s">
        <v>622</v>
      </c>
      <c r="H313" s="115"/>
      <c r="I313" s="3" t="s">
        <v>723</v>
      </c>
      <c r="J313" s="48"/>
      <c r="K313" s="49"/>
      <c r="L313" s="49"/>
      <c r="M313" s="225"/>
      <c r="N313" s="49"/>
      <c r="O313" s="355">
        <f>O314</f>
        <v>117180</v>
      </c>
      <c r="P313" s="353"/>
      <c r="Q313" s="353">
        <f>Q314</f>
        <v>117180</v>
      </c>
      <c r="R313" s="350">
        <f t="shared" si="17"/>
        <v>100</v>
      </c>
    </row>
    <row r="314" spans="1:18" ht="77.5" x14ac:dyDescent="0.35">
      <c r="A314" s="4"/>
      <c r="B314" s="335"/>
      <c r="C314" s="335"/>
      <c r="D314" s="335"/>
      <c r="E314" s="335"/>
      <c r="F314" s="336"/>
      <c r="G314" s="51" t="s">
        <v>3</v>
      </c>
      <c r="H314" s="115"/>
      <c r="I314" s="60"/>
      <c r="J314" s="48">
        <v>100</v>
      </c>
      <c r="K314" s="49"/>
      <c r="L314" s="49"/>
      <c r="M314" s="225"/>
      <c r="N314" s="49"/>
      <c r="O314" s="355">
        <v>117180</v>
      </c>
      <c r="P314" s="353"/>
      <c r="Q314" s="353">
        <v>117180</v>
      </c>
      <c r="R314" s="350">
        <f t="shared" si="17"/>
        <v>100</v>
      </c>
    </row>
    <row r="315" spans="1:18" ht="31" x14ac:dyDescent="0.35">
      <c r="A315" s="4"/>
      <c r="B315" s="17"/>
      <c r="C315" s="17"/>
      <c r="D315" s="17"/>
      <c r="E315" s="17"/>
      <c r="F315" s="18"/>
      <c r="G315" s="51" t="s">
        <v>77</v>
      </c>
      <c r="H315" s="51"/>
      <c r="I315" s="47" t="s">
        <v>301</v>
      </c>
      <c r="J315" s="48"/>
      <c r="K315" s="49">
        <f>K316+K317</f>
        <v>7513000</v>
      </c>
      <c r="L315" s="49"/>
      <c r="M315" s="225">
        <f>M316+M317</f>
        <v>7000000</v>
      </c>
      <c r="N315" s="49">
        <f>N316+N317</f>
        <v>0</v>
      </c>
      <c r="O315" s="355">
        <f>O316+O317+O319</f>
        <v>8024279</v>
      </c>
      <c r="P315" s="353"/>
      <c r="Q315" s="353">
        <f>Q316+Q317+Q319</f>
        <v>7778008.870000001</v>
      </c>
      <c r="R315" s="350">
        <f t="shared" si="17"/>
        <v>96.930937595764064</v>
      </c>
    </row>
    <row r="316" spans="1:18" ht="77.5" x14ac:dyDescent="0.35">
      <c r="A316" s="4"/>
      <c r="B316" s="384">
        <v>600</v>
      </c>
      <c r="C316" s="384"/>
      <c r="D316" s="384"/>
      <c r="E316" s="384"/>
      <c r="F316" s="385"/>
      <c r="G316" s="51" t="s">
        <v>3</v>
      </c>
      <c r="H316" s="51"/>
      <c r="I316" s="47"/>
      <c r="J316" s="48">
        <v>100</v>
      </c>
      <c r="K316" s="49">
        <v>7098000</v>
      </c>
      <c r="L316" s="49"/>
      <c r="M316" s="225">
        <v>6654400</v>
      </c>
      <c r="N316" s="49"/>
      <c r="O316" s="353">
        <v>7527046</v>
      </c>
      <c r="P316" s="353"/>
      <c r="Q316" s="353">
        <v>7432992.1100000003</v>
      </c>
      <c r="R316" s="350">
        <f t="shared" si="17"/>
        <v>98.750454162230454</v>
      </c>
    </row>
    <row r="317" spans="1:18" ht="31" x14ac:dyDescent="0.35">
      <c r="A317" s="4"/>
      <c r="B317" s="383">
        <v>800</v>
      </c>
      <c r="C317" s="383"/>
      <c r="D317" s="383"/>
      <c r="E317" s="383"/>
      <c r="F317" s="375"/>
      <c r="G317" s="51" t="s">
        <v>2</v>
      </c>
      <c r="H317" s="51"/>
      <c r="I317" s="47"/>
      <c r="J317" s="48">
        <v>200</v>
      </c>
      <c r="K317" s="49">
        <v>415000</v>
      </c>
      <c r="L317" s="49"/>
      <c r="M317" s="225">
        <v>345600</v>
      </c>
      <c r="N317" s="49"/>
      <c r="O317" s="353">
        <v>415000</v>
      </c>
      <c r="P317" s="353"/>
      <c r="Q317" s="353">
        <v>262784.03000000003</v>
      </c>
      <c r="R317" s="350">
        <f t="shared" si="17"/>
        <v>63.321453012048202</v>
      </c>
    </row>
    <row r="318" spans="1:18" hidden="1" x14ac:dyDescent="0.35">
      <c r="A318" s="4"/>
      <c r="B318" s="373" t="s">
        <v>30</v>
      </c>
      <c r="C318" s="373"/>
      <c r="D318" s="373"/>
      <c r="E318" s="373"/>
      <c r="F318" s="374"/>
      <c r="G318" s="51" t="s">
        <v>1</v>
      </c>
      <c r="H318" s="51"/>
      <c r="I318" s="47"/>
      <c r="J318" s="48">
        <v>800</v>
      </c>
      <c r="K318" s="49"/>
      <c r="L318" s="49"/>
      <c r="M318" s="225"/>
      <c r="N318" s="49"/>
      <c r="O318" s="354"/>
      <c r="P318" s="353"/>
      <c r="Q318" s="353"/>
      <c r="R318" s="350" t="e">
        <f t="shared" si="17"/>
        <v>#DIV/0!</v>
      </c>
    </row>
    <row r="319" spans="1:18" ht="31" x14ac:dyDescent="0.35">
      <c r="A319" s="4"/>
      <c r="B319" s="316"/>
      <c r="C319" s="316"/>
      <c r="D319" s="316"/>
      <c r="E319" s="316"/>
      <c r="F319" s="317"/>
      <c r="G319" s="51" t="s">
        <v>5</v>
      </c>
      <c r="H319" s="51"/>
      <c r="I319" s="47"/>
      <c r="J319" s="48">
        <v>300</v>
      </c>
      <c r="K319" s="49"/>
      <c r="L319" s="49"/>
      <c r="M319" s="225"/>
      <c r="N319" s="49"/>
      <c r="O319" s="355">
        <v>82233</v>
      </c>
      <c r="P319" s="353"/>
      <c r="Q319" s="353">
        <v>82232.73</v>
      </c>
      <c r="R319" s="350">
        <f t="shared" si="17"/>
        <v>99.99967166466017</v>
      </c>
    </row>
    <row r="320" spans="1:18" ht="62" x14ac:dyDescent="0.35">
      <c r="A320" s="4"/>
      <c r="B320" s="322"/>
      <c r="C320" s="322"/>
      <c r="D320" s="322"/>
      <c r="E320" s="322"/>
      <c r="F320" s="323"/>
      <c r="G320" s="51" t="s">
        <v>701</v>
      </c>
      <c r="H320" s="51"/>
      <c r="I320" s="47" t="s">
        <v>702</v>
      </c>
      <c r="J320" s="48"/>
      <c r="K320" s="49"/>
      <c r="L320" s="49"/>
      <c r="M320" s="225"/>
      <c r="N320" s="49"/>
      <c r="O320" s="355">
        <f>O321</f>
        <v>383235</v>
      </c>
      <c r="P320" s="353"/>
      <c r="Q320" s="353">
        <f>Q321</f>
        <v>383235</v>
      </c>
      <c r="R320" s="350">
        <f t="shared" si="17"/>
        <v>100</v>
      </c>
    </row>
    <row r="321" spans="1:18" x14ac:dyDescent="0.35">
      <c r="A321" s="4"/>
      <c r="B321" s="322"/>
      <c r="C321" s="322"/>
      <c r="D321" s="322"/>
      <c r="E321" s="322"/>
      <c r="F321" s="323"/>
      <c r="G321" s="51" t="s">
        <v>6</v>
      </c>
      <c r="H321" s="51"/>
      <c r="I321" s="47"/>
      <c r="J321" s="48">
        <v>500</v>
      </c>
      <c r="K321" s="49"/>
      <c r="L321" s="49"/>
      <c r="M321" s="225"/>
      <c r="N321" s="49"/>
      <c r="O321" s="355">
        <v>383235</v>
      </c>
      <c r="P321" s="353"/>
      <c r="Q321" s="353">
        <v>383235</v>
      </c>
      <c r="R321" s="350">
        <f t="shared" si="17"/>
        <v>100</v>
      </c>
    </row>
    <row r="322" spans="1:18" ht="45" x14ac:dyDescent="0.35">
      <c r="A322" s="4"/>
      <c r="B322" s="17"/>
      <c r="C322" s="17"/>
      <c r="D322" s="17"/>
      <c r="E322" s="17"/>
      <c r="F322" s="18"/>
      <c r="G322" s="115" t="s">
        <v>527</v>
      </c>
      <c r="H322" s="120">
        <v>806</v>
      </c>
      <c r="I322" s="47"/>
      <c r="J322" s="48"/>
      <c r="K322" s="121">
        <f t="shared" ref="K322:O322" si="22">K323+K421+K430+K435</f>
        <v>174066544</v>
      </c>
      <c r="L322" s="121">
        <f t="shared" si="22"/>
        <v>480829</v>
      </c>
      <c r="M322" s="226">
        <f t="shared" si="22"/>
        <v>172838927</v>
      </c>
      <c r="N322" s="121">
        <f t="shared" si="22"/>
        <v>0</v>
      </c>
      <c r="O322" s="354">
        <f t="shared" si="22"/>
        <v>111652765</v>
      </c>
      <c r="P322" s="352"/>
      <c r="Q322" s="352">
        <f t="shared" ref="Q322" si="23">Q323+Q421+Q430+Q435</f>
        <v>111651311.62</v>
      </c>
      <c r="R322" s="350">
        <f t="shared" ref="R322:R385" si="24">Q322/O322*100</f>
        <v>99.998698303620159</v>
      </c>
    </row>
    <row r="323" spans="1:18" ht="45" x14ac:dyDescent="0.35">
      <c r="A323" s="4"/>
      <c r="B323" s="17"/>
      <c r="C323" s="17"/>
      <c r="D323" s="17"/>
      <c r="E323" s="17"/>
      <c r="F323" s="18"/>
      <c r="G323" s="2" t="s">
        <v>647</v>
      </c>
      <c r="H323" s="115"/>
      <c r="I323" s="60" t="s">
        <v>191</v>
      </c>
      <c r="J323" s="48" t="s">
        <v>0</v>
      </c>
      <c r="K323" s="121">
        <f>K324+K402+K410</f>
        <v>166790139</v>
      </c>
      <c r="L323" s="121">
        <f>L324+L402</f>
        <v>480829</v>
      </c>
      <c r="M323" s="226">
        <f>M324+M402</f>
        <v>166059927</v>
      </c>
      <c r="N323" s="121">
        <f>N324+N402+N410</f>
        <v>0</v>
      </c>
      <c r="O323" s="354">
        <f>O324+O402+O410+O416</f>
        <v>105988675</v>
      </c>
      <c r="P323" s="352"/>
      <c r="Q323" s="352">
        <f>Q324+Q402+Q410+Q416</f>
        <v>105988663.7</v>
      </c>
      <c r="R323" s="350">
        <f t="shared" si="24"/>
        <v>99.999989338483573</v>
      </c>
    </row>
    <row r="324" spans="1:18" ht="75" x14ac:dyDescent="0.35">
      <c r="A324" s="4"/>
      <c r="B324" s="17"/>
      <c r="C324" s="17"/>
      <c r="D324" s="17"/>
      <c r="E324" s="17"/>
      <c r="F324" s="18"/>
      <c r="G324" s="2" t="s">
        <v>648</v>
      </c>
      <c r="H324" s="115"/>
      <c r="I324" s="47" t="s">
        <v>192</v>
      </c>
      <c r="J324" s="48"/>
      <c r="K324" s="49">
        <f t="shared" ref="K324:O324" si="25">K325+K381+K390+K399+K407</f>
        <v>166780139</v>
      </c>
      <c r="L324" s="49">
        <f t="shared" si="25"/>
        <v>480829</v>
      </c>
      <c r="M324" s="225">
        <f t="shared" si="25"/>
        <v>166059927</v>
      </c>
      <c r="N324" s="49">
        <f t="shared" si="25"/>
        <v>0</v>
      </c>
      <c r="O324" s="355">
        <f t="shared" si="25"/>
        <v>105938725</v>
      </c>
      <c r="P324" s="353"/>
      <c r="Q324" s="353">
        <f t="shared" ref="Q324" si="26">Q325+Q381+Q390+Q399+Q407</f>
        <v>105938713.7</v>
      </c>
      <c r="R324" s="350">
        <f t="shared" si="24"/>
        <v>99.999989333456668</v>
      </c>
    </row>
    <row r="325" spans="1:18" ht="66.650000000000006" customHeight="1" x14ac:dyDescent="0.35">
      <c r="A325" s="4"/>
      <c r="B325" s="17"/>
      <c r="C325" s="17"/>
      <c r="D325" s="17"/>
      <c r="E325" s="17"/>
      <c r="F325" s="18"/>
      <c r="G325" s="63" t="s">
        <v>446</v>
      </c>
      <c r="H325" s="63"/>
      <c r="I325" s="64" t="s">
        <v>193</v>
      </c>
      <c r="J325" s="48"/>
      <c r="K325" s="49">
        <f t="shared" ref="K325:N325" si="27">K326+K330+K333+K336+K339+K342+K347+K349+K351+K354+K362+K365+K368+K371+K373+K375+K377</f>
        <v>77203799</v>
      </c>
      <c r="L325" s="49">
        <f t="shared" si="27"/>
        <v>480829</v>
      </c>
      <c r="M325" s="225">
        <f t="shared" si="27"/>
        <v>83533417</v>
      </c>
      <c r="N325" s="49">
        <f t="shared" si="27"/>
        <v>0</v>
      </c>
      <c r="O325" s="359">
        <f>O326+O330+O333+O336+O339+O342+O347+O349+O351+O354+O362+O365+O368+O371+O373+O375+O377+O379</f>
        <v>23700116</v>
      </c>
      <c r="P325" s="358"/>
      <c r="Q325" s="358">
        <f>Q326+Q330+Q333+Q336+Q339+Q342+Q347+Q349+Q351+Q354+Q362+Q365+Q368+Q371+Q373+Q375+Q377+Q379</f>
        <v>23700109.199999999</v>
      </c>
      <c r="R325" s="350">
        <f t="shared" si="24"/>
        <v>99.999971308157313</v>
      </c>
    </row>
    <row r="326" spans="1:18" s="87" customFormat="1" ht="62" hidden="1" x14ac:dyDescent="0.35">
      <c r="A326" s="84"/>
      <c r="B326" s="85"/>
      <c r="C326" s="85"/>
      <c r="D326" s="85"/>
      <c r="E326" s="85"/>
      <c r="F326" s="86"/>
      <c r="G326" s="129" t="s">
        <v>395</v>
      </c>
      <c r="H326" s="51"/>
      <c r="I326" s="47" t="s">
        <v>194</v>
      </c>
      <c r="J326" s="48"/>
      <c r="K326" s="49">
        <f>K328+K329</f>
        <v>62596</v>
      </c>
      <c r="L326" s="49">
        <f>L327+L329</f>
        <v>-10340</v>
      </c>
      <c r="M326" s="225">
        <f>M327+M329</f>
        <v>52256</v>
      </c>
      <c r="N326" s="49">
        <f>N328+N329</f>
        <v>0</v>
      </c>
      <c r="O326" s="355">
        <f>O328+O329</f>
        <v>0</v>
      </c>
      <c r="P326" s="353"/>
      <c r="Q326" s="353">
        <f>Q328+Q329</f>
        <v>0</v>
      </c>
      <c r="R326" s="350" t="e">
        <f t="shared" si="24"/>
        <v>#DIV/0!</v>
      </c>
    </row>
    <row r="327" spans="1:18" s="87" customFormat="1" ht="45" hidden="1" customHeight="1" x14ac:dyDescent="0.35">
      <c r="A327" s="84"/>
      <c r="B327" s="85"/>
      <c r="C327" s="85"/>
      <c r="D327" s="85"/>
      <c r="E327" s="85"/>
      <c r="F327" s="86"/>
      <c r="G327" s="51" t="s">
        <v>2</v>
      </c>
      <c r="H327" s="130"/>
      <c r="I327" s="131"/>
      <c r="J327" s="48">
        <v>200</v>
      </c>
      <c r="K327" s="49">
        <v>0</v>
      </c>
      <c r="L327" s="49"/>
      <c r="M327" s="225">
        <v>0</v>
      </c>
      <c r="N327" s="49"/>
      <c r="O327" s="355"/>
      <c r="P327" s="353"/>
      <c r="Q327" s="353"/>
      <c r="R327" s="350" t="e">
        <f t="shared" si="24"/>
        <v>#DIV/0!</v>
      </c>
    </row>
    <row r="328" spans="1:18" s="87" customFormat="1" ht="36" hidden="1" customHeight="1" x14ac:dyDescent="0.35">
      <c r="A328" s="84"/>
      <c r="B328" s="196"/>
      <c r="C328" s="196"/>
      <c r="D328" s="196"/>
      <c r="E328" s="196"/>
      <c r="F328" s="197"/>
      <c r="G328" s="111" t="s">
        <v>2</v>
      </c>
      <c r="H328" s="130"/>
      <c r="I328" s="131"/>
      <c r="J328" s="48">
        <v>200</v>
      </c>
      <c r="K328" s="49"/>
      <c r="L328" s="49"/>
      <c r="M328" s="225"/>
      <c r="N328" s="49"/>
      <c r="O328" s="355"/>
      <c r="P328" s="353"/>
      <c r="Q328" s="353"/>
      <c r="R328" s="350" t="e">
        <f t="shared" si="24"/>
        <v>#DIV/0!</v>
      </c>
    </row>
    <row r="329" spans="1:18" s="87" customFormat="1" hidden="1" x14ac:dyDescent="0.35">
      <c r="A329" s="84"/>
      <c r="B329" s="85"/>
      <c r="C329" s="85"/>
      <c r="D329" s="85"/>
      <c r="E329" s="85"/>
      <c r="F329" s="86"/>
      <c r="G329" s="132" t="s">
        <v>5</v>
      </c>
      <c r="H329" s="130"/>
      <c r="I329" s="131"/>
      <c r="J329" s="48">
        <v>300</v>
      </c>
      <c r="K329" s="49">
        <v>62596</v>
      </c>
      <c r="L329" s="49">
        <v>-10340</v>
      </c>
      <c r="M329" s="225">
        <f>L329+K329</f>
        <v>52256</v>
      </c>
      <c r="N329" s="49"/>
      <c r="O329" s="355"/>
      <c r="P329" s="353"/>
      <c r="Q329" s="353"/>
      <c r="R329" s="350" t="e">
        <f t="shared" si="24"/>
        <v>#DIV/0!</v>
      </c>
    </row>
    <row r="330" spans="1:18" s="87" customFormat="1" ht="86.25" customHeight="1" x14ac:dyDescent="0.35">
      <c r="A330" s="84"/>
      <c r="B330" s="420" t="s">
        <v>29</v>
      </c>
      <c r="C330" s="420"/>
      <c r="D330" s="420"/>
      <c r="E330" s="420"/>
      <c r="F330" s="421"/>
      <c r="G330" s="122" t="s">
        <v>396</v>
      </c>
      <c r="H330" s="66"/>
      <c r="I330" s="47" t="s">
        <v>195</v>
      </c>
      <c r="J330" s="48" t="s">
        <v>0</v>
      </c>
      <c r="K330" s="49">
        <f>K331+K332</f>
        <v>1301001</v>
      </c>
      <c r="L330" s="49">
        <f>L331+L332</f>
        <v>0</v>
      </c>
      <c r="M330" s="225">
        <f>M331+M332</f>
        <v>1301001</v>
      </c>
      <c r="N330" s="49">
        <f>N331+N332</f>
        <v>0</v>
      </c>
      <c r="O330" s="355">
        <f>O331+O332</f>
        <v>1376861</v>
      </c>
      <c r="P330" s="353"/>
      <c r="Q330" s="353">
        <f>Q331+Q332</f>
        <v>1376860.94</v>
      </c>
      <c r="R330" s="350">
        <f t="shared" si="24"/>
        <v>99.999995642261624</v>
      </c>
    </row>
    <row r="331" spans="1:18" s="87" customFormat="1" ht="31" x14ac:dyDescent="0.35">
      <c r="A331" s="84"/>
      <c r="B331" s="415">
        <v>500</v>
      </c>
      <c r="C331" s="415"/>
      <c r="D331" s="415"/>
      <c r="E331" s="415"/>
      <c r="F331" s="416"/>
      <c r="G331" s="111" t="s">
        <v>2</v>
      </c>
      <c r="H331" s="66"/>
      <c r="I331" s="47"/>
      <c r="J331" s="48">
        <v>200</v>
      </c>
      <c r="K331" s="49">
        <v>16696</v>
      </c>
      <c r="L331" s="49">
        <v>0</v>
      </c>
      <c r="M331" s="225">
        <f>K331+L331</f>
        <v>16696</v>
      </c>
      <c r="N331" s="49">
        <v>0</v>
      </c>
      <c r="O331" s="353">
        <v>17456.8</v>
      </c>
      <c r="P331" s="353"/>
      <c r="Q331" s="353">
        <v>17456.740000000002</v>
      </c>
      <c r="R331" s="350">
        <f t="shared" si="24"/>
        <v>99.999656294395322</v>
      </c>
    </row>
    <row r="332" spans="1:18" s="87" customFormat="1" ht="31" x14ac:dyDescent="0.35">
      <c r="A332" s="84"/>
      <c r="B332" s="85"/>
      <c r="C332" s="85"/>
      <c r="D332" s="85"/>
      <c r="E332" s="85"/>
      <c r="F332" s="86"/>
      <c r="G332" s="51" t="s">
        <v>5</v>
      </c>
      <c r="H332" s="51"/>
      <c r="I332" s="47" t="s">
        <v>0</v>
      </c>
      <c r="J332" s="48">
        <v>300</v>
      </c>
      <c r="K332" s="49">
        <v>1284305</v>
      </c>
      <c r="L332" s="49"/>
      <c r="M332" s="225">
        <f>K332+L332</f>
        <v>1284305</v>
      </c>
      <c r="N332" s="49"/>
      <c r="O332" s="353">
        <v>1359404.2</v>
      </c>
      <c r="P332" s="353"/>
      <c r="Q332" s="353">
        <v>1359404.2</v>
      </c>
      <c r="R332" s="350">
        <f t="shared" si="24"/>
        <v>100</v>
      </c>
    </row>
    <row r="333" spans="1:18" s="87" customFormat="1" ht="46.5" x14ac:dyDescent="0.35">
      <c r="A333" s="84"/>
      <c r="B333" s="85"/>
      <c r="C333" s="85"/>
      <c r="D333" s="85"/>
      <c r="E333" s="85"/>
      <c r="F333" s="86"/>
      <c r="G333" s="51" t="s">
        <v>83</v>
      </c>
      <c r="H333" s="51"/>
      <c r="I333" s="47" t="s">
        <v>196</v>
      </c>
      <c r="J333" s="48" t="s">
        <v>0</v>
      </c>
      <c r="K333" s="49">
        <f>K335+K334</f>
        <v>7880000</v>
      </c>
      <c r="L333" s="49">
        <f>L335+L334</f>
        <v>0</v>
      </c>
      <c r="M333" s="225">
        <f>M335+M334</f>
        <v>7854362</v>
      </c>
      <c r="N333" s="49">
        <f>N335+N334</f>
        <v>0</v>
      </c>
      <c r="O333" s="355">
        <f>O335+O334</f>
        <v>1290889</v>
      </c>
      <c r="P333" s="353"/>
      <c r="Q333" s="353">
        <f>Q335+Q334</f>
        <v>1290888.8599999999</v>
      </c>
      <c r="R333" s="350">
        <f t="shared" si="24"/>
        <v>99.999989154760783</v>
      </c>
    </row>
    <row r="334" spans="1:18" s="87" customFormat="1" ht="31" x14ac:dyDescent="0.35">
      <c r="A334" s="84"/>
      <c r="B334" s="85"/>
      <c r="C334" s="85"/>
      <c r="D334" s="85"/>
      <c r="E334" s="85"/>
      <c r="F334" s="86"/>
      <c r="G334" s="51" t="s">
        <v>2</v>
      </c>
      <c r="H334" s="51"/>
      <c r="I334" s="47"/>
      <c r="J334" s="48">
        <v>200</v>
      </c>
      <c r="K334" s="49">
        <v>115638</v>
      </c>
      <c r="L334" s="49"/>
      <c r="M334" s="225">
        <v>90000</v>
      </c>
      <c r="N334" s="49"/>
      <c r="O334" s="353">
        <v>17994</v>
      </c>
      <c r="P334" s="353"/>
      <c r="Q334" s="353">
        <v>17993.95</v>
      </c>
      <c r="R334" s="350">
        <f t="shared" si="24"/>
        <v>99.999722129598752</v>
      </c>
    </row>
    <row r="335" spans="1:18" s="87" customFormat="1" ht="31" x14ac:dyDescent="0.35">
      <c r="A335" s="84"/>
      <c r="B335" s="85"/>
      <c r="C335" s="85"/>
      <c r="D335" s="85"/>
      <c r="E335" s="85"/>
      <c r="F335" s="86"/>
      <c r="G335" s="51" t="s">
        <v>5</v>
      </c>
      <c r="H335" s="51"/>
      <c r="I335" s="47" t="s">
        <v>0</v>
      </c>
      <c r="J335" s="48">
        <v>300</v>
      </c>
      <c r="K335" s="49">
        <v>7764362</v>
      </c>
      <c r="L335" s="49"/>
      <c r="M335" s="225">
        <f>K335+L335</f>
        <v>7764362</v>
      </c>
      <c r="N335" s="49"/>
      <c r="O335" s="353">
        <v>1272895</v>
      </c>
      <c r="P335" s="353"/>
      <c r="Q335" s="353">
        <v>1272894.9099999999</v>
      </c>
      <c r="R335" s="350">
        <f t="shared" si="24"/>
        <v>99.999992929503208</v>
      </c>
    </row>
    <row r="336" spans="1:18" s="87" customFormat="1" ht="77.5" hidden="1" x14ac:dyDescent="0.35">
      <c r="A336" s="84"/>
      <c r="B336" s="85"/>
      <c r="C336" s="85"/>
      <c r="D336" s="85"/>
      <c r="E336" s="85"/>
      <c r="F336" s="86"/>
      <c r="G336" s="51" t="s">
        <v>84</v>
      </c>
      <c r="H336" s="51"/>
      <c r="I336" s="47" t="s">
        <v>197</v>
      </c>
      <c r="J336" s="48" t="s">
        <v>0</v>
      </c>
      <c r="K336" s="49">
        <f>K337+K338</f>
        <v>151334</v>
      </c>
      <c r="L336" s="49">
        <f>L337+L338</f>
        <v>0</v>
      </c>
      <c r="M336" s="225">
        <f>M337+M338</f>
        <v>171600</v>
      </c>
      <c r="N336" s="49">
        <f>N337+N338</f>
        <v>0</v>
      </c>
      <c r="O336" s="355">
        <f>O337+O338</f>
        <v>0</v>
      </c>
      <c r="P336" s="353"/>
      <c r="Q336" s="353"/>
      <c r="R336" s="350" t="e">
        <f t="shared" si="24"/>
        <v>#DIV/0!</v>
      </c>
    </row>
    <row r="337" spans="1:18" s="87" customFormat="1" ht="31" hidden="1" x14ac:dyDescent="0.35">
      <c r="A337" s="84"/>
      <c r="B337" s="154"/>
      <c r="C337" s="154"/>
      <c r="D337" s="154"/>
      <c r="E337" s="154"/>
      <c r="F337" s="155"/>
      <c r="G337" s="51" t="s">
        <v>2</v>
      </c>
      <c r="H337" s="51"/>
      <c r="I337" s="47"/>
      <c r="J337" s="48">
        <v>200</v>
      </c>
      <c r="K337" s="49"/>
      <c r="L337" s="49"/>
      <c r="M337" s="225">
        <v>2500</v>
      </c>
      <c r="N337" s="49"/>
      <c r="O337" s="355"/>
      <c r="P337" s="353"/>
      <c r="Q337" s="353"/>
      <c r="R337" s="350" t="e">
        <f t="shared" si="24"/>
        <v>#DIV/0!</v>
      </c>
    </row>
    <row r="338" spans="1:18" s="87" customFormat="1" hidden="1" x14ac:dyDescent="0.35">
      <c r="A338" s="84"/>
      <c r="B338" s="85"/>
      <c r="C338" s="85"/>
      <c r="D338" s="85"/>
      <c r="E338" s="85"/>
      <c r="F338" s="86"/>
      <c r="G338" s="51" t="s">
        <v>5</v>
      </c>
      <c r="H338" s="51"/>
      <c r="I338" s="47" t="s">
        <v>0</v>
      </c>
      <c r="J338" s="48">
        <v>300</v>
      </c>
      <c r="K338" s="49">
        <v>151334</v>
      </c>
      <c r="L338" s="49"/>
      <c r="M338" s="225">
        <v>169100</v>
      </c>
      <c r="N338" s="49"/>
      <c r="O338" s="355"/>
      <c r="P338" s="353"/>
      <c r="Q338" s="353"/>
      <c r="R338" s="350" t="e">
        <f t="shared" si="24"/>
        <v>#DIV/0!</v>
      </c>
    </row>
    <row r="339" spans="1:18" s="87" customFormat="1" ht="108.5" hidden="1" x14ac:dyDescent="0.35">
      <c r="A339" s="84"/>
      <c r="B339" s="85"/>
      <c r="C339" s="85"/>
      <c r="D339" s="85"/>
      <c r="E339" s="85"/>
      <c r="F339" s="86"/>
      <c r="G339" s="51" t="s">
        <v>505</v>
      </c>
      <c r="H339" s="51"/>
      <c r="I339" s="47" t="s">
        <v>506</v>
      </c>
      <c r="J339" s="48" t="s">
        <v>0</v>
      </c>
      <c r="K339" s="49">
        <f>K341+K340</f>
        <v>4255186</v>
      </c>
      <c r="L339" s="49">
        <f>L341+L340</f>
        <v>0</v>
      </c>
      <c r="M339" s="225">
        <f>M341+M340</f>
        <v>4642000</v>
      </c>
      <c r="N339" s="49">
        <f>N341+N340</f>
        <v>0</v>
      </c>
      <c r="O339" s="355">
        <f>O341+O340</f>
        <v>0</v>
      </c>
      <c r="P339" s="353"/>
      <c r="Q339" s="353"/>
      <c r="R339" s="350" t="e">
        <f t="shared" si="24"/>
        <v>#DIV/0!</v>
      </c>
    </row>
    <row r="340" spans="1:18" s="87" customFormat="1" ht="31" hidden="1" x14ac:dyDescent="0.35">
      <c r="A340" s="84"/>
      <c r="B340" s="420" t="s">
        <v>28</v>
      </c>
      <c r="C340" s="420"/>
      <c r="D340" s="420"/>
      <c r="E340" s="420"/>
      <c r="F340" s="421"/>
      <c r="G340" s="51" t="s">
        <v>2</v>
      </c>
      <c r="H340" s="51"/>
      <c r="I340" s="47"/>
      <c r="J340" s="48">
        <v>200</v>
      </c>
      <c r="K340" s="49">
        <v>63735</v>
      </c>
      <c r="L340" s="49"/>
      <c r="M340" s="225">
        <v>68600</v>
      </c>
      <c r="N340" s="49"/>
      <c r="O340" s="355"/>
      <c r="P340" s="353"/>
      <c r="Q340" s="353"/>
      <c r="R340" s="350" t="e">
        <f t="shared" si="24"/>
        <v>#DIV/0!</v>
      </c>
    </row>
    <row r="341" spans="1:18" s="87" customFormat="1" hidden="1" x14ac:dyDescent="0.35">
      <c r="A341" s="84"/>
      <c r="B341" s="85"/>
      <c r="C341" s="85"/>
      <c r="D341" s="85"/>
      <c r="E341" s="85"/>
      <c r="F341" s="86"/>
      <c r="G341" s="51" t="s">
        <v>5</v>
      </c>
      <c r="H341" s="51"/>
      <c r="I341" s="47" t="s">
        <v>0</v>
      </c>
      <c r="J341" s="48">
        <v>300</v>
      </c>
      <c r="K341" s="49">
        <v>4191451</v>
      </c>
      <c r="L341" s="49"/>
      <c r="M341" s="225">
        <v>4573400</v>
      </c>
      <c r="N341" s="49"/>
      <c r="O341" s="355"/>
      <c r="P341" s="353"/>
      <c r="Q341" s="353"/>
      <c r="R341" s="350" t="e">
        <f t="shared" si="24"/>
        <v>#DIV/0!</v>
      </c>
    </row>
    <row r="342" spans="1:18" s="87" customFormat="1" ht="31" x14ac:dyDescent="0.35">
      <c r="A342" s="84"/>
      <c r="B342" s="85"/>
      <c r="C342" s="85"/>
      <c r="D342" s="85"/>
      <c r="E342" s="85"/>
      <c r="F342" s="86"/>
      <c r="G342" s="51" t="s">
        <v>508</v>
      </c>
      <c r="H342" s="51"/>
      <c r="I342" s="47" t="s">
        <v>507</v>
      </c>
      <c r="J342" s="48" t="s">
        <v>0</v>
      </c>
      <c r="K342" s="49">
        <f>K344+K343</f>
        <v>23348760</v>
      </c>
      <c r="L342" s="49">
        <f>L344+L343</f>
        <v>0</v>
      </c>
      <c r="M342" s="225">
        <f>M344+M343</f>
        <v>23348760</v>
      </c>
      <c r="N342" s="49">
        <f>N344+N343</f>
        <v>0</v>
      </c>
      <c r="O342" s="355">
        <f>O344+O343</f>
        <v>7897477</v>
      </c>
      <c r="P342" s="353"/>
      <c r="Q342" s="353">
        <f>Q344+Q343</f>
        <v>7897475.4900000002</v>
      </c>
      <c r="R342" s="350">
        <f t="shared" si="24"/>
        <v>99.999980879969641</v>
      </c>
    </row>
    <row r="343" spans="1:18" s="87" customFormat="1" ht="43.5" hidden="1" customHeight="1" x14ac:dyDescent="0.35">
      <c r="A343" s="84"/>
      <c r="B343" s="85"/>
      <c r="C343" s="85"/>
      <c r="D343" s="85"/>
      <c r="E343" s="85"/>
      <c r="F343" s="86"/>
      <c r="G343" s="51" t="s">
        <v>2</v>
      </c>
      <c r="H343" s="51"/>
      <c r="I343" s="47"/>
      <c r="J343" s="48">
        <v>200</v>
      </c>
      <c r="K343" s="49"/>
      <c r="L343" s="49"/>
      <c r="M343" s="225">
        <f>K343+L343</f>
        <v>0</v>
      </c>
      <c r="N343" s="49"/>
      <c r="O343" s="355"/>
      <c r="P343" s="353"/>
      <c r="Q343" s="353"/>
      <c r="R343" s="350" t="e">
        <f t="shared" si="24"/>
        <v>#DIV/0!</v>
      </c>
    </row>
    <row r="344" spans="1:18" s="87" customFormat="1" ht="20.149999999999999" customHeight="1" x14ac:dyDescent="0.35">
      <c r="A344" s="84"/>
      <c r="B344" s="415">
        <v>600</v>
      </c>
      <c r="C344" s="415"/>
      <c r="D344" s="415"/>
      <c r="E344" s="415"/>
      <c r="F344" s="416"/>
      <c r="G344" s="51" t="s">
        <v>5</v>
      </c>
      <c r="H344" s="51"/>
      <c r="I344" s="47" t="s">
        <v>0</v>
      </c>
      <c r="J344" s="48">
        <v>300</v>
      </c>
      <c r="K344" s="49">
        <v>23348760</v>
      </c>
      <c r="L344" s="49"/>
      <c r="M344" s="225">
        <f>K344+L344</f>
        <v>23348760</v>
      </c>
      <c r="N344" s="49"/>
      <c r="O344" s="353">
        <v>7897477</v>
      </c>
      <c r="P344" s="353"/>
      <c r="Q344" s="353">
        <v>7897475.4900000002</v>
      </c>
      <c r="R344" s="350">
        <f t="shared" si="24"/>
        <v>99.999980879969641</v>
      </c>
    </row>
    <row r="345" spans="1:18" ht="48.65" hidden="1" customHeight="1" x14ac:dyDescent="0.35">
      <c r="A345" s="4"/>
      <c r="B345" s="17"/>
      <c r="C345" s="17"/>
      <c r="D345" s="17"/>
      <c r="E345" s="17"/>
      <c r="F345" s="18"/>
      <c r="G345" s="51" t="s">
        <v>356</v>
      </c>
      <c r="H345" s="51"/>
      <c r="I345" s="47" t="s">
        <v>373</v>
      </c>
      <c r="J345" s="48"/>
      <c r="K345" s="49">
        <f>K346</f>
        <v>0</v>
      </c>
      <c r="L345" s="49"/>
      <c r="M345" s="225">
        <f>M346</f>
        <v>0</v>
      </c>
      <c r="N345" s="49"/>
      <c r="O345" s="355"/>
      <c r="P345" s="353"/>
      <c r="Q345" s="353"/>
      <c r="R345" s="350" t="e">
        <f t="shared" si="24"/>
        <v>#DIV/0!</v>
      </c>
    </row>
    <row r="346" spans="1:18" ht="27.75" hidden="1" customHeight="1" x14ac:dyDescent="0.35">
      <c r="A346" s="4"/>
      <c r="B346" s="17"/>
      <c r="C346" s="17"/>
      <c r="D346" s="17"/>
      <c r="E346" s="17"/>
      <c r="F346" s="18"/>
      <c r="G346" s="51" t="s">
        <v>5</v>
      </c>
      <c r="H346" s="51"/>
      <c r="I346" s="47"/>
      <c r="J346" s="48">
        <v>300</v>
      </c>
      <c r="K346" s="49">
        <v>0</v>
      </c>
      <c r="L346" s="49"/>
      <c r="M346" s="225">
        <v>0</v>
      </c>
      <c r="N346" s="49"/>
      <c r="O346" s="355"/>
      <c r="P346" s="353"/>
      <c r="Q346" s="353"/>
      <c r="R346" s="350" t="e">
        <f t="shared" si="24"/>
        <v>#DIV/0!</v>
      </c>
    </row>
    <row r="347" spans="1:18" ht="31" x14ac:dyDescent="0.35">
      <c r="A347" s="4"/>
      <c r="B347" s="17"/>
      <c r="C347" s="17"/>
      <c r="D347" s="17"/>
      <c r="E347" s="17"/>
      <c r="F347" s="18"/>
      <c r="G347" s="51" t="s">
        <v>360</v>
      </c>
      <c r="H347" s="51"/>
      <c r="I347" s="47" t="s">
        <v>198</v>
      </c>
      <c r="J347" s="48"/>
      <c r="K347" s="49">
        <f>K348</f>
        <v>1195000</v>
      </c>
      <c r="L347" s="49">
        <f>L348</f>
        <v>0</v>
      </c>
      <c r="M347" s="225">
        <f>M348</f>
        <v>1195000</v>
      </c>
      <c r="N347" s="49">
        <f>N348</f>
        <v>0</v>
      </c>
      <c r="O347" s="355">
        <f>O348</f>
        <v>2427832</v>
      </c>
      <c r="P347" s="353"/>
      <c r="Q347" s="353">
        <f>Q348</f>
        <v>2427830.7999999998</v>
      </c>
      <c r="R347" s="350">
        <f t="shared" si="24"/>
        <v>99.999950573186283</v>
      </c>
    </row>
    <row r="348" spans="1:18" ht="31" x14ac:dyDescent="0.35">
      <c r="A348" s="4"/>
      <c r="B348" s="17"/>
      <c r="C348" s="17"/>
      <c r="D348" s="17"/>
      <c r="E348" s="17"/>
      <c r="F348" s="18"/>
      <c r="G348" s="51" t="s">
        <v>5</v>
      </c>
      <c r="H348" s="51"/>
      <c r="I348" s="52"/>
      <c r="J348" s="48">
        <v>300</v>
      </c>
      <c r="K348" s="49">
        <v>1195000</v>
      </c>
      <c r="L348" s="49"/>
      <c r="M348" s="225">
        <v>1195000</v>
      </c>
      <c r="N348" s="49"/>
      <c r="O348" s="355">
        <f>1327200+1000000+104440-3808</f>
        <v>2427832</v>
      </c>
      <c r="P348" s="353"/>
      <c r="Q348" s="353">
        <v>2427830.7999999998</v>
      </c>
      <c r="R348" s="350">
        <f t="shared" si="24"/>
        <v>99.999950573186283</v>
      </c>
    </row>
    <row r="349" spans="1:18" ht="46.5" x14ac:dyDescent="0.35">
      <c r="A349" s="4"/>
      <c r="B349" s="17"/>
      <c r="C349" s="17"/>
      <c r="D349" s="17"/>
      <c r="E349" s="17"/>
      <c r="F349" s="18"/>
      <c r="G349" s="51" t="s">
        <v>63</v>
      </c>
      <c r="H349" s="51"/>
      <c r="I349" s="47" t="s">
        <v>199</v>
      </c>
      <c r="J349" s="48"/>
      <c r="K349" s="49">
        <f>K350</f>
        <v>100000</v>
      </c>
      <c r="L349" s="49">
        <f>L350</f>
        <v>0</v>
      </c>
      <c r="M349" s="225">
        <f>M350</f>
        <v>95000</v>
      </c>
      <c r="N349" s="49">
        <f>N350</f>
        <v>0</v>
      </c>
      <c r="O349" s="355">
        <f>O350</f>
        <v>75000</v>
      </c>
      <c r="P349" s="353"/>
      <c r="Q349" s="353">
        <f>Q350</f>
        <v>75000</v>
      </c>
      <c r="R349" s="350">
        <f t="shared" si="24"/>
        <v>100</v>
      </c>
    </row>
    <row r="350" spans="1:18" ht="31" x14ac:dyDescent="0.35">
      <c r="A350" s="4"/>
      <c r="B350" s="383">
        <v>800</v>
      </c>
      <c r="C350" s="383"/>
      <c r="D350" s="383"/>
      <c r="E350" s="383"/>
      <c r="F350" s="375"/>
      <c r="G350" s="51" t="s">
        <v>5</v>
      </c>
      <c r="H350" s="51"/>
      <c r="I350" s="117"/>
      <c r="J350" s="48">
        <v>300</v>
      </c>
      <c r="K350" s="49">
        <v>100000</v>
      </c>
      <c r="L350" s="49"/>
      <c r="M350" s="225">
        <v>95000</v>
      </c>
      <c r="N350" s="49"/>
      <c r="O350" s="355">
        <f>120000-45000</f>
        <v>75000</v>
      </c>
      <c r="P350" s="353"/>
      <c r="Q350" s="353">
        <v>75000</v>
      </c>
      <c r="R350" s="350">
        <f t="shared" si="24"/>
        <v>100</v>
      </c>
    </row>
    <row r="351" spans="1:18" s="87" customFormat="1" ht="31" x14ac:dyDescent="0.35">
      <c r="A351" s="84"/>
      <c r="B351" s="85"/>
      <c r="C351" s="85"/>
      <c r="D351" s="85"/>
      <c r="E351" s="85"/>
      <c r="F351" s="86"/>
      <c r="G351" s="51" t="s">
        <v>80</v>
      </c>
      <c r="H351" s="51"/>
      <c r="I351" s="47" t="s">
        <v>200</v>
      </c>
      <c r="J351" s="48" t="s">
        <v>0</v>
      </c>
      <c r="K351" s="49">
        <f>K353+K352</f>
        <v>5754000</v>
      </c>
      <c r="L351" s="49">
        <f>L353+L352</f>
        <v>0</v>
      </c>
      <c r="M351" s="225">
        <f>M353+M352</f>
        <v>7503000</v>
      </c>
      <c r="N351" s="49">
        <f>N353+N352</f>
        <v>0</v>
      </c>
      <c r="O351" s="355">
        <f>O353+O352</f>
        <v>1892600</v>
      </c>
      <c r="P351" s="353"/>
      <c r="Q351" s="353">
        <f>Q353+Q352</f>
        <v>1892599.41</v>
      </c>
      <c r="R351" s="350">
        <f t="shared" si="24"/>
        <v>99.999968825953715</v>
      </c>
    </row>
    <row r="352" spans="1:18" s="87" customFormat="1" ht="31" x14ac:dyDescent="0.35">
      <c r="A352" s="84"/>
      <c r="B352" s="85"/>
      <c r="C352" s="85"/>
      <c r="D352" s="85"/>
      <c r="E352" s="85"/>
      <c r="F352" s="86"/>
      <c r="G352" s="51" t="s">
        <v>2</v>
      </c>
      <c r="H352" s="51"/>
      <c r="I352" s="47"/>
      <c r="J352" s="48">
        <v>200</v>
      </c>
      <c r="K352" s="49">
        <v>90000</v>
      </c>
      <c r="L352" s="49"/>
      <c r="M352" s="225">
        <v>124700</v>
      </c>
      <c r="N352" s="49"/>
      <c r="O352" s="353">
        <v>28499</v>
      </c>
      <c r="P352" s="353"/>
      <c r="Q352" s="353">
        <v>28498.53</v>
      </c>
      <c r="R352" s="350">
        <f t="shared" si="24"/>
        <v>99.998350819326987</v>
      </c>
    </row>
    <row r="353" spans="1:18" s="87" customFormat="1" ht="31" x14ac:dyDescent="0.35">
      <c r="A353" s="84"/>
      <c r="B353" s="85"/>
      <c r="C353" s="85"/>
      <c r="D353" s="85"/>
      <c r="E353" s="85"/>
      <c r="F353" s="86"/>
      <c r="G353" s="51" t="s">
        <v>5</v>
      </c>
      <c r="H353" s="51"/>
      <c r="I353" s="47" t="s">
        <v>0</v>
      </c>
      <c r="J353" s="48">
        <v>300</v>
      </c>
      <c r="K353" s="49">
        <v>5664000</v>
      </c>
      <c r="L353" s="49"/>
      <c r="M353" s="225">
        <v>7378300</v>
      </c>
      <c r="N353" s="49"/>
      <c r="O353" s="353">
        <v>1864101</v>
      </c>
      <c r="P353" s="353"/>
      <c r="Q353" s="353">
        <v>1864100.88</v>
      </c>
      <c r="R353" s="350">
        <f t="shared" si="24"/>
        <v>99.999993562580556</v>
      </c>
    </row>
    <row r="354" spans="1:18" s="87" customFormat="1" ht="62" x14ac:dyDescent="0.35">
      <c r="A354" s="84"/>
      <c r="B354" s="417" t="s">
        <v>27</v>
      </c>
      <c r="C354" s="418"/>
      <c r="D354" s="418"/>
      <c r="E354" s="418"/>
      <c r="F354" s="419"/>
      <c r="G354" s="51" t="s">
        <v>85</v>
      </c>
      <c r="H354" s="51"/>
      <c r="I354" s="47" t="s">
        <v>201</v>
      </c>
      <c r="J354" s="48" t="s">
        <v>0</v>
      </c>
      <c r="K354" s="49">
        <f>K356+K355</f>
        <v>7300000</v>
      </c>
      <c r="L354" s="49">
        <f>L356+L355</f>
        <v>0</v>
      </c>
      <c r="M354" s="225">
        <f>M356+M355</f>
        <v>7664800</v>
      </c>
      <c r="N354" s="49">
        <f>N356+N355</f>
        <v>0</v>
      </c>
      <c r="O354" s="355">
        <f>O356+O355</f>
        <v>1798624</v>
      </c>
      <c r="P354" s="353"/>
      <c r="Q354" s="353">
        <f>Q356+Q355</f>
        <v>1798623.84</v>
      </c>
      <c r="R354" s="350">
        <f t="shared" si="24"/>
        <v>99.999991104310865</v>
      </c>
    </row>
    <row r="355" spans="1:18" s="87" customFormat="1" ht="31" x14ac:dyDescent="0.35">
      <c r="A355" s="84"/>
      <c r="B355" s="90"/>
      <c r="C355" s="90"/>
      <c r="D355" s="90"/>
      <c r="E355" s="90"/>
      <c r="F355" s="91"/>
      <c r="G355" s="51" t="s">
        <v>2</v>
      </c>
      <c r="H355" s="51"/>
      <c r="I355" s="47"/>
      <c r="J355" s="48">
        <v>200</v>
      </c>
      <c r="K355" s="49">
        <v>122000</v>
      </c>
      <c r="L355" s="49"/>
      <c r="M355" s="225">
        <v>124400</v>
      </c>
      <c r="N355" s="49"/>
      <c r="O355" s="355">
        <v>29150</v>
      </c>
      <c r="P355" s="353"/>
      <c r="Q355" s="353">
        <v>29149.84</v>
      </c>
      <c r="R355" s="350">
        <f t="shared" si="24"/>
        <v>99.999451114922806</v>
      </c>
    </row>
    <row r="356" spans="1:18" s="87" customFormat="1" ht="31" x14ac:dyDescent="0.35">
      <c r="A356" s="84"/>
      <c r="B356" s="397" t="s">
        <v>26</v>
      </c>
      <c r="C356" s="397"/>
      <c r="D356" s="397"/>
      <c r="E356" s="397"/>
      <c r="F356" s="398"/>
      <c r="G356" s="51" t="s">
        <v>5</v>
      </c>
      <c r="H356" s="51"/>
      <c r="I356" s="47" t="s">
        <v>0</v>
      </c>
      <c r="J356" s="48">
        <v>300</v>
      </c>
      <c r="K356" s="49">
        <v>7178000</v>
      </c>
      <c r="L356" s="49"/>
      <c r="M356" s="225">
        <v>7540400</v>
      </c>
      <c r="N356" s="49"/>
      <c r="O356" s="353">
        <v>1769474</v>
      </c>
      <c r="P356" s="353"/>
      <c r="Q356" s="353">
        <v>1769474</v>
      </c>
      <c r="R356" s="350">
        <f t="shared" si="24"/>
        <v>100</v>
      </c>
    </row>
    <row r="357" spans="1:18" s="87" customFormat="1" ht="51.65" hidden="1" customHeight="1" x14ac:dyDescent="0.35">
      <c r="A357" s="84"/>
      <c r="B357" s="411" t="s">
        <v>25</v>
      </c>
      <c r="C357" s="411"/>
      <c r="D357" s="411"/>
      <c r="E357" s="411"/>
      <c r="F357" s="412"/>
      <c r="N357" s="236"/>
      <c r="O357" s="355"/>
      <c r="P357" s="353"/>
      <c r="Q357" s="353"/>
      <c r="R357" s="350" t="e">
        <f t="shared" si="24"/>
        <v>#DIV/0!</v>
      </c>
    </row>
    <row r="358" spans="1:18" s="87" customFormat="1" ht="35.25" hidden="1" customHeight="1" x14ac:dyDescent="0.35">
      <c r="A358" s="84"/>
      <c r="B358" s="92"/>
      <c r="C358" s="92"/>
      <c r="D358" s="92"/>
      <c r="E358" s="92"/>
      <c r="F358" s="93"/>
      <c r="N358" s="236"/>
      <c r="O358" s="355"/>
      <c r="P358" s="353"/>
      <c r="Q358" s="353"/>
      <c r="R358" s="350" t="e">
        <f t="shared" si="24"/>
        <v>#DIV/0!</v>
      </c>
    </row>
    <row r="359" spans="1:18" s="87" customFormat="1" ht="18.649999999999999" hidden="1" customHeight="1" x14ac:dyDescent="0.35">
      <c r="A359" s="84"/>
      <c r="B359" s="92"/>
      <c r="C359" s="92"/>
      <c r="D359" s="92"/>
      <c r="E359" s="92"/>
      <c r="F359" s="93"/>
      <c r="N359" s="236"/>
      <c r="O359" s="355"/>
      <c r="P359" s="353"/>
      <c r="Q359" s="353"/>
      <c r="R359" s="350" t="e">
        <f t="shared" si="24"/>
        <v>#DIV/0!</v>
      </c>
    </row>
    <row r="360" spans="1:18" s="87" customFormat="1" ht="48.65" hidden="1" customHeight="1" x14ac:dyDescent="0.35">
      <c r="A360" s="84"/>
      <c r="B360" s="173"/>
      <c r="C360" s="173"/>
      <c r="D360" s="173"/>
      <c r="E360" s="173"/>
      <c r="F360" s="174"/>
      <c r="N360" s="236"/>
      <c r="O360" s="355"/>
      <c r="P360" s="353"/>
      <c r="Q360" s="353"/>
      <c r="R360" s="350" t="e">
        <f t="shared" si="24"/>
        <v>#DIV/0!</v>
      </c>
    </row>
    <row r="361" spans="1:18" s="87" customFormat="1" ht="21" hidden="1" customHeight="1" x14ac:dyDescent="0.35">
      <c r="A361" s="84"/>
      <c r="B361" s="173"/>
      <c r="C361" s="173"/>
      <c r="D361" s="173"/>
      <c r="E361" s="173"/>
      <c r="F361" s="174"/>
      <c r="N361" s="236"/>
      <c r="O361" s="355"/>
      <c r="P361" s="353"/>
      <c r="Q361" s="353"/>
      <c r="R361" s="350" t="e">
        <f t="shared" si="24"/>
        <v>#DIV/0!</v>
      </c>
    </row>
    <row r="362" spans="1:18" s="87" customFormat="1" ht="62" x14ac:dyDescent="0.35">
      <c r="A362" s="84"/>
      <c r="B362" s="92"/>
      <c r="C362" s="92"/>
      <c r="D362" s="92"/>
      <c r="E362" s="92"/>
      <c r="F362" s="93"/>
      <c r="G362" s="51" t="s">
        <v>86</v>
      </c>
      <c r="H362" s="51"/>
      <c r="I362" s="47" t="s">
        <v>202</v>
      </c>
      <c r="J362" s="48" t="s">
        <v>0</v>
      </c>
      <c r="K362" s="49">
        <f>K364+K363</f>
        <v>14374000</v>
      </c>
      <c r="L362" s="49">
        <f>L364+L363</f>
        <v>0</v>
      </c>
      <c r="M362" s="225">
        <f>M364+M363</f>
        <v>16223000</v>
      </c>
      <c r="N362" s="49">
        <f>N364+N363</f>
        <v>0</v>
      </c>
      <c r="O362" s="355">
        <f>O364+O363</f>
        <v>4162113</v>
      </c>
      <c r="P362" s="353"/>
      <c r="Q362" s="353">
        <f>Q364+Q363</f>
        <v>4162112.44</v>
      </c>
      <c r="R362" s="350">
        <f t="shared" si="24"/>
        <v>99.999986545295613</v>
      </c>
    </row>
    <row r="363" spans="1:18" s="87" customFormat="1" ht="31" x14ac:dyDescent="0.35">
      <c r="A363" s="84"/>
      <c r="B363" s="409" t="s">
        <v>24</v>
      </c>
      <c r="C363" s="409"/>
      <c r="D363" s="409"/>
      <c r="E363" s="409"/>
      <c r="F363" s="410"/>
      <c r="G363" s="51" t="s">
        <v>2</v>
      </c>
      <c r="H363" s="51"/>
      <c r="I363" s="47"/>
      <c r="J363" s="48">
        <v>200</v>
      </c>
      <c r="K363" s="49">
        <v>212424</v>
      </c>
      <c r="L363" s="49"/>
      <c r="M363" s="225">
        <v>269000</v>
      </c>
      <c r="N363" s="49"/>
      <c r="O363" s="353">
        <v>60787</v>
      </c>
      <c r="P363" s="353"/>
      <c r="Q363" s="353">
        <v>60786.5</v>
      </c>
      <c r="R363" s="350">
        <f t="shared" si="24"/>
        <v>99.99917745570599</v>
      </c>
    </row>
    <row r="364" spans="1:18" s="87" customFormat="1" ht="31" x14ac:dyDescent="0.35">
      <c r="A364" s="84"/>
      <c r="B364" s="94"/>
      <c r="C364" s="94"/>
      <c r="D364" s="94"/>
      <c r="E364" s="94"/>
      <c r="F364" s="95"/>
      <c r="G364" s="51" t="s">
        <v>5</v>
      </c>
      <c r="H364" s="51"/>
      <c r="I364" s="47" t="s">
        <v>0</v>
      </c>
      <c r="J364" s="48">
        <v>300</v>
      </c>
      <c r="K364" s="49">
        <v>14161576</v>
      </c>
      <c r="L364" s="49"/>
      <c r="M364" s="225">
        <v>15954000</v>
      </c>
      <c r="N364" s="49"/>
      <c r="O364" s="353">
        <v>4101326</v>
      </c>
      <c r="P364" s="353"/>
      <c r="Q364" s="353">
        <v>4101325.94</v>
      </c>
      <c r="R364" s="350">
        <f t="shared" si="24"/>
        <v>99.999998537058502</v>
      </c>
    </row>
    <row r="365" spans="1:18" s="87" customFormat="1" x14ac:dyDescent="0.35">
      <c r="A365" s="84"/>
      <c r="B365" s="409" t="s">
        <v>23</v>
      </c>
      <c r="C365" s="409"/>
      <c r="D365" s="409"/>
      <c r="E365" s="409"/>
      <c r="F365" s="410"/>
      <c r="G365" s="51" t="s">
        <v>87</v>
      </c>
      <c r="H365" s="51"/>
      <c r="I365" s="47" t="s">
        <v>203</v>
      </c>
      <c r="J365" s="48" t="s">
        <v>0</v>
      </c>
      <c r="K365" s="49">
        <f>K367+K366</f>
        <v>4440000</v>
      </c>
      <c r="L365" s="49">
        <f>L367+L366</f>
        <v>124706</v>
      </c>
      <c r="M365" s="225">
        <f>M367+M366</f>
        <v>4564706</v>
      </c>
      <c r="N365" s="49">
        <f>N367+N366</f>
        <v>0</v>
      </c>
      <c r="O365" s="355">
        <f>O367+O366</f>
        <v>1458550</v>
      </c>
      <c r="P365" s="353"/>
      <c r="Q365" s="353">
        <f>Q367+Q366</f>
        <v>1458549.13</v>
      </c>
      <c r="R365" s="350">
        <f t="shared" si="24"/>
        <v>99.999940351719161</v>
      </c>
    </row>
    <row r="366" spans="1:18" s="87" customFormat="1" ht="31" x14ac:dyDescent="0.35">
      <c r="A366" s="84"/>
      <c r="B366" s="415">
        <v>500</v>
      </c>
      <c r="C366" s="415"/>
      <c r="D366" s="415"/>
      <c r="E366" s="415"/>
      <c r="F366" s="416"/>
      <c r="G366" s="51" t="s">
        <v>2</v>
      </c>
      <c r="H366" s="51"/>
      <c r="I366" s="47"/>
      <c r="J366" s="48">
        <v>200</v>
      </c>
      <c r="K366" s="49">
        <v>65616</v>
      </c>
      <c r="L366" s="49">
        <v>-30000</v>
      </c>
      <c r="M366" s="225">
        <f>L366+K366</f>
        <v>35616</v>
      </c>
      <c r="N366" s="49"/>
      <c r="O366" s="353">
        <v>14315</v>
      </c>
      <c r="P366" s="353"/>
      <c r="Q366" s="353">
        <v>14314.97</v>
      </c>
      <c r="R366" s="350">
        <f t="shared" si="24"/>
        <v>99.999790429619267</v>
      </c>
    </row>
    <row r="367" spans="1:18" s="87" customFormat="1" ht="31" x14ac:dyDescent="0.35">
      <c r="A367" s="84"/>
      <c r="B367" s="85"/>
      <c r="C367" s="85"/>
      <c r="D367" s="85"/>
      <c r="E367" s="85"/>
      <c r="F367" s="86"/>
      <c r="G367" s="51" t="s">
        <v>5</v>
      </c>
      <c r="H367" s="51"/>
      <c r="I367" s="47" t="s">
        <v>0</v>
      </c>
      <c r="J367" s="48">
        <v>300</v>
      </c>
      <c r="K367" s="49">
        <v>4374384</v>
      </c>
      <c r="L367" s="49">
        <v>154706</v>
      </c>
      <c r="M367" s="225">
        <f>L367+K367</f>
        <v>4529090</v>
      </c>
      <c r="N367" s="49"/>
      <c r="O367" s="353">
        <v>1444235</v>
      </c>
      <c r="P367" s="353"/>
      <c r="Q367" s="353">
        <v>1444234.16</v>
      </c>
      <c r="R367" s="350">
        <f t="shared" si="24"/>
        <v>99.999941837720314</v>
      </c>
    </row>
    <row r="368" spans="1:18" s="87" customFormat="1" ht="46.5" x14ac:dyDescent="0.35">
      <c r="A368" s="84"/>
      <c r="B368" s="85"/>
      <c r="C368" s="85"/>
      <c r="D368" s="85"/>
      <c r="E368" s="85"/>
      <c r="F368" s="86"/>
      <c r="G368" s="51" t="s">
        <v>88</v>
      </c>
      <c r="H368" s="51"/>
      <c r="I368" s="47" t="s">
        <v>204</v>
      </c>
      <c r="J368" s="48" t="s">
        <v>0</v>
      </c>
      <c r="K368" s="49">
        <f>K370+K369</f>
        <v>6700000</v>
      </c>
      <c r="L368" s="49">
        <f>L370+L369</f>
        <v>0</v>
      </c>
      <c r="M368" s="225">
        <f>M370+M369</f>
        <v>8008000</v>
      </c>
      <c r="N368" s="49">
        <f>N370+N369</f>
        <v>0</v>
      </c>
      <c r="O368" s="355">
        <f>O370+O369</f>
        <v>984629</v>
      </c>
      <c r="P368" s="353"/>
      <c r="Q368" s="353">
        <f>Q370+Q369</f>
        <v>984628.62</v>
      </c>
      <c r="R368" s="350">
        <f t="shared" si="24"/>
        <v>99.999961406783669</v>
      </c>
    </row>
    <row r="369" spans="1:18" s="87" customFormat="1" ht="31" x14ac:dyDescent="0.35">
      <c r="A369" s="84"/>
      <c r="B369" s="397" t="s">
        <v>22</v>
      </c>
      <c r="C369" s="397"/>
      <c r="D369" s="397"/>
      <c r="E369" s="397"/>
      <c r="F369" s="398"/>
      <c r="G369" s="51" t="s">
        <v>2</v>
      </c>
      <c r="H369" s="51"/>
      <c r="I369" s="47"/>
      <c r="J369" s="48">
        <v>200</v>
      </c>
      <c r="K369" s="49">
        <v>17000</v>
      </c>
      <c r="L369" s="49"/>
      <c r="M369" s="225">
        <v>35000</v>
      </c>
      <c r="N369" s="49"/>
      <c r="O369" s="355">
        <v>1197</v>
      </c>
      <c r="P369" s="353"/>
      <c r="Q369" s="353">
        <v>1196.6199999999999</v>
      </c>
      <c r="R369" s="350">
        <f t="shared" si="24"/>
        <v>99.968253968253961</v>
      </c>
    </row>
    <row r="370" spans="1:18" s="87" customFormat="1" ht="31" x14ac:dyDescent="0.35">
      <c r="A370" s="84"/>
      <c r="B370" s="411" t="s">
        <v>21</v>
      </c>
      <c r="C370" s="411"/>
      <c r="D370" s="411"/>
      <c r="E370" s="411"/>
      <c r="F370" s="412"/>
      <c r="G370" s="51" t="s">
        <v>5</v>
      </c>
      <c r="H370" s="51"/>
      <c r="I370" s="47" t="s">
        <v>0</v>
      </c>
      <c r="J370" s="48">
        <v>300</v>
      </c>
      <c r="K370" s="49">
        <v>6683000</v>
      </c>
      <c r="L370" s="49"/>
      <c r="M370" s="225">
        <v>7973000</v>
      </c>
      <c r="N370" s="49"/>
      <c r="O370" s="353">
        <v>983432</v>
      </c>
      <c r="P370" s="353"/>
      <c r="Q370" s="353">
        <v>983432</v>
      </c>
      <c r="R370" s="350">
        <f t="shared" si="24"/>
        <v>100</v>
      </c>
    </row>
    <row r="371" spans="1:18" s="87" customFormat="1" ht="46.5" x14ac:dyDescent="0.35">
      <c r="A371" s="84"/>
      <c r="B371" s="92"/>
      <c r="C371" s="92"/>
      <c r="D371" s="92"/>
      <c r="E371" s="92"/>
      <c r="F371" s="93"/>
      <c r="G371" s="51" t="s">
        <v>356</v>
      </c>
      <c r="H371" s="51"/>
      <c r="I371" s="47" t="s">
        <v>374</v>
      </c>
      <c r="J371" s="48"/>
      <c r="K371" s="49">
        <f>SUM(K372)</f>
        <v>152381</v>
      </c>
      <c r="L371" s="49">
        <f>SUM(L372)</f>
        <v>-3537</v>
      </c>
      <c r="M371" s="225">
        <f>SUM(M372)</f>
        <v>148844</v>
      </c>
      <c r="N371" s="49">
        <f>SUM(N372)</f>
        <v>0</v>
      </c>
      <c r="O371" s="355">
        <f>SUM(O372)</f>
        <v>44942</v>
      </c>
      <c r="P371" s="353"/>
      <c r="Q371" s="353">
        <f>SUM(Q372)</f>
        <v>44941.05</v>
      </c>
      <c r="R371" s="350">
        <f t="shared" si="24"/>
        <v>99.997886164389655</v>
      </c>
    </row>
    <row r="372" spans="1:18" s="87" customFormat="1" ht="31" x14ac:dyDescent="0.35">
      <c r="A372" s="84"/>
      <c r="B372" s="92"/>
      <c r="C372" s="92"/>
      <c r="D372" s="92"/>
      <c r="E372" s="92"/>
      <c r="F372" s="93"/>
      <c r="G372" s="51" t="s">
        <v>5</v>
      </c>
      <c r="H372" s="51"/>
      <c r="I372" s="47"/>
      <c r="J372" s="48">
        <v>300</v>
      </c>
      <c r="K372" s="49">
        <v>152381</v>
      </c>
      <c r="L372" s="49">
        <v>-3537</v>
      </c>
      <c r="M372" s="225">
        <f>L372+K372</f>
        <v>148844</v>
      </c>
      <c r="N372" s="49"/>
      <c r="O372" s="353">
        <v>44942</v>
      </c>
      <c r="P372" s="353"/>
      <c r="Q372" s="353">
        <v>44941.05</v>
      </c>
      <c r="R372" s="350">
        <f t="shared" si="24"/>
        <v>99.997886164389655</v>
      </c>
    </row>
    <row r="373" spans="1:18" s="87" customFormat="1" ht="65.900000000000006" hidden="1" customHeight="1" x14ac:dyDescent="0.35">
      <c r="A373" s="84"/>
      <c r="B373" s="92"/>
      <c r="C373" s="92"/>
      <c r="D373" s="92"/>
      <c r="E373" s="92"/>
      <c r="F373" s="93"/>
      <c r="G373" s="51" t="s">
        <v>375</v>
      </c>
      <c r="H373" s="51"/>
      <c r="I373" s="47" t="s">
        <v>376</v>
      </c>
      <c r="J373" s="48"/>
      <c r="K373" s="49">
        <f>SUM(K374)</f>
        <v>0</v>
      </c>
      <c r="L373" s="49">
        <f>SUM(L374)</f>
        <v>0</v>
      </c>
      <c r="M373" s="225">
        <f>SUM(M374)</f>
        <v>202000</v>
      </c>
      <c r="N373" s="49"/>
      <c r="O373" s="355"/>
      <c r="P373" s="353"/>
      <c r="Q373" s="353"/>
      <c r="R373" s="350" t="e">
        <f t="shared" si="24"/>
        <v>#DIV/0!</v>
      </c>
    </row>
    <row r="374" spans="1:18" s="87" customFormat="1" ht="33.65" hidden="1" customHeight="1" x14ac:dyDescent="0.35">
      <c r="A374" s="84"/>
      <c r="B374" s="92"/>
      <c r="C374" s="92"/>
      <c r="D374" s="92"/>
      <c r="E374" s="92"/>
      <c r="F374" s="93"/>
      <c r="G374" s="51" t="s">
        <v>2</v>
      </c>
      <c r="H374" s="51"/>
      <c r="I374" s="47"/>
      <c r="J374" s="48">
        <v>200</v>
      </c>
      <c r="K374" s="49">
        <v>0</v>
      </c>
      <c r="L374" s="49"/>
      <c r="M374" s="225">
        <v>202000</v>
      </c>
      <c r="N374" s="49"/>
      <c r="O374" s="355"/>
      <c r="P374" s="353"/>
      <c r="Q374" s="353"/>
      <c r="R374" s="350" t="e">
        <f t="shared" si="24"/>
        <v>#DIV/0!</v>
      </c>
    </row>
    <row r="375" spans="1:18" s="87" customFormat="1" ht="62" x14ac:dyDescent="0.35">
      <c r="A375" s="84"/>
      <c r="B375" s="92"/>
      <c r="C375" s="92"/>
      <c r="D375" s="92"/>
      <c r="E375" s="92"/>
      <c r="F375" s="93"/>
      <c r="G375" s="51" t="s">
        <v>377</v>
      </c>
      <c r="H375" s="51"/>
      <c r="I375" s="47" t="s">
        <v>378</v>
      </c>
      <c r="J375" s="48"/>
      <c r="K375" s="49">
        <f>SUM(K376)</f>
        <v>2303</v>
      </c>
      <c r="L375" s="49">
        <f>SUM(L376)</f>
        <v>0</v>
      </c>
      <c r="M375" s="225">
        <f>SUM(M376)</f>
        <v>1850</v>
      </c>
      <c r="N375" s="49">
        <f>SUM(N376)</f>
        <v>0</v>
      </c>
      <c r="O375" s="355">
        <f>SUM(O376)</f>
        <v>738</v>
      </c>
      <c r="P375" s="353"/>
      <c r="Q375" s="353">
        <f>SUM(Q376)</f>
        <v>737.74</v>
      </c>
      <c r="R375" s="350">
        <f t="shared" si="24"/>
        <v>99.964769647696485</v>
      </c>
    </row>
    <row r="376" spans="1:18" s="87" customFormat="1" ht="31" x14ac:dyDescent="0.35">
      <c r="A376" s="84"/>
      <c r="B376" s="92"/>
      <c r="C376" s="92"/>
      <c r="D376" s="92"/>
      <c r="E376" s="92"/>
      <c r="F376" s="93"/>
      <c r="G376" s="51" t="s">
        <v>2</v>
      </c>
      <c r="H376" s="51"/>
      <c r="I376" s="47"/>
      <c r="J376" s="48">
        <v>200</v>
      </c>
      <c r="K376" s="49">
        <v>2303</v>
      </c>
      <c r="L376" s="49"/>
      <c r="M376" s="225">
        <v>1850</v>
      </c>
      <c r="N376" s="49"/>
      <c r="O376" s="353">
        <v>738</v>
      </c>
      <c r="P376" s="353"/>
      <c r="Q376" s="353">
        <v>737.74</v>
      </c>
      <c r="R376" s="350">
        <f t="shared" si="24"/>
        <v>99.964769647696485</v>
      </c>
    </row>
    <row r="377" spans="1:18" s="87" customFormat="1" ht="62" x14ac:dyDescent="0.35">
      <c r="A377" s="84"/>
      <c r="B377" s="193"/>
      <c r="C377" s="193"/>
      <c r="D377" s="193"/>
      <c r="E377" s="193"/>
      <c r="F377" s="194"/>
      <c r="G377" s="51" t="s">
        <v>510</v>
      </c>
      <c r="H377" s="51"/>
      <c r="I377" s="47" t="s">
        <v>509</v>
      </c>
      <c r="J377" s="48"/>
      <c r="K377" s="49">
        <f>K378</f>
        <v>187238</v>
      </c>
      <c r="L377" s="49">
        <f>L378</f>
        <v>370000</v>
      </c>
      <c r="M377" s="225">
        <f>M378</f>
        <v>557238</v>
      </c>
      <c r="N377" s="49">
        <f>N378</f>
        <v>0</v>
      </c>
      <c r="O377" s="355">
        <f>O378</f>
        <v>104861</v>
      </c>
      <c r="P377" s="353"/>
      <c r="Q377" s="353">
        <f>Q378</f>
        <v>104860.88</v>
      </c>
      <c r="R377" s="350">
        <f t="shared" si="24"/>
        <v>99.999885562792656</v>
      </c>
    </row>
    <row r="378" spans="1:18" s="87" customFormat="1" ht="31" x14ac:dyDescent="0.35">
      <c r="A378" s="84"/>
      <c r="B378" s="193"/>
      <c r="C378" s="193"/>
      <c r="D378" s="193"/>
      <c r="E378" s="193"/>
      <c r="F378" s="194"/>
      <c r="G378" s="51" t="s">
        <v>2</v>
      </c>
      <c r="H378" s="51"/>
      <c r="I378" s="47"/>
      <c r="J378" s="48">
        <v>200</v>
      </c>
      <c r="K378" s="49">
        <v>187238</v>
      </c>
      <c r="L378" s="49">
        <v>370000</v>
      </c>
      <c r="M378" s="225">
        <f>L378+K378</f>
        <v>557238</v>
      </c>
      <c r="N378" s="49"/>
      <c r="O378" s="353">
        <v>104861</v>
      </c>
      <c r="P378" s="353"/>
      <c r="Q378" s="353">
        <v>104860.88</v>
      </c>
      <c r="R378" s="350">
        <f t="shared" si="24"/>
        <v>99.999885562792656</v>
      </c>
    </row>
    <row r="379" spans="1:18" s="87" customFormat="1" ht="77.5" x14ac:dyDescent="0.35">
      <c r="A379" s="84"/>
      <c r="B379" s="295"/>
      <c r="C379" s="295"/>
      <c r="D379" s="295"/>
      <c r="E379" s="295"/>
      <c r="F379" s="296"/>
      <c r="G379" s="14" t="s">
        <v>617</v>
      </c>
      <c r="H379" s="14"/>
      <c r="I379" s="3" t="s">
        <v>618</v>
      </c>
      <c r="J379" s="204"/>
      <c r="K379" s="207"/>
      <c r="L379" s="299"/>
      <c r="M379" s="238"/>
      <c r="N379" s="238"/>
      <c r="O379" s="353">
        <f>O380</f>
        <v>185000</v>
      </c>
      <c r="P379" s="353"/>
      <c r="Q379" s="353">
        <f>Q380</f>
        <v>185000</v>
      </c>
      <c r="R379" s="350">
        <f t="shared" si="24"/>
        <v>100</v>
      </c>
    </row>
    <row r="380" spans="1:18" s="87" customFormat="1" ht="31" x14ac:dyDescent="0.35">
      <c r="A380" s="84"/>
      <c r="B380" s="295"/>
      <c r="C380" s="295"/>
      <c r="D380" s="295"/>
      <c r="E380" s="295"/>
      <c r="F380" s="296"/>
      <c r="G380" s="14" t="s">
        <v>5</v>
      </c>
      <c r="H380" s="14"/>
      <c r="I380" s="3"/>
      <c r="J380" s="204">
        <v>300</v>
      </c>
      <c r="K380" s="207"/>
      <c r="L380" s="299"/>
      <c r="M380" s="238"/>
      <c r="N380" s="238"/>
      <c r="O380" s="353">
        <v>185000</v>
      </c>
      <c r="P380" s="353"/>
      <c r="Q380" s="353">
        <v>185000</v>
      </c>
      <c r="R380" s="350">
        <f t="shared" si="24"/>
        <v>100</v>
      </c>
    </row>
    <row r="381" spans="1:18" s="87" customFormat="1" ht="31" x14ac:dyDescent="0.35">
      <c r="A381" s="84"/>
      <c r="B381" s="180"/>
      <c r="C381" s="180"/>
      <c r="D381" s="180"/>
      <c r="E381" s="180"/>
      <c r="F381" s="181"/>
      <c r="G381" s="63" t="s">
        <v>447</v>
      </c>
      <c r="H381" s="51"/>
      <c r="I381" s="64" t="s">
        <v>450</v>
      </c>
      <c r="J381" s="48"/>
      <c r="K381" s="49">
        <f>K382+K384+K388</f>
        <v>22577864</v>
      </c>
      <c r="L381" s="49">
        <f>L382+L384</f>
        <v>0</v>
      </c>
      <c r="M381" s="225">
        <f>M382+M384</f>
        <v>22404564</v>
      </c>
      <c r="N381" s="49">
        <f>N382+N384+N388</f>
        <v>0</v>
      </c>
      <c r="O381" s="355">
        <f>O382+O384+O388</f>
        <v>2061223</v>
      </c>
      <c r="P381" s="353"/>
      <c r="Q381" s="353">
        <f>Q382+Q384+Q388</f>
        <v>2061221.91</v>
      </c>
      <c r="R381" s="350">
        <f t="shared" si="24"/>
        <v>99.999947118773662</v>
      </c>
    </row>
    <row r="382" spans="1:18" s="87" customFormat="1" ht="46.5" x14ac:dyDescent="0.35">
      <c r="A382" s="84"/>
      <c r="B382" s="180"/>
      <c r="C382" s="180"/>
      <c r="D382" s="180"/>
      <c r="E382" s="180"/>
      <c r="F382" s="181"/>
      <c r="G382" s="51" t="s">
        <v>475</v>
      </c>
      <c r="H382" s="51"/>
      <c r="I382" s="47" t="s">
        <v>443</v>
      </c>
      <c r="J382" s="48"/>
      <c r="K382" s="49">
        <f t="shared" ref="K382:Q382" si="28">K383</f>
        <v>12230244</v>
      </c>
      <c r="L382" s="49">
        <f t="shared" si="28"/>
        <v>0</v>
      </c>
      <c r="M382" s="225">
        <f t="shared" si="28"/>
        <v>12230244</v>
      </c>
      <c r="N382" s="49">
        <f t="shared" si="28"/>
        <v>0</v>
      </c>
      <c r="O382" s="355">
        <f t="shared" si="28"/>
        <v>2034005</v>
      </c>
      <c r="P382" s="353"/>
      <c r="Q382" s="353">
        <f t="shared" si="28"/>
        <v>2034004</v>
      </c>
      <c r="R382" s="350">
        <f t="shared" si="24"/>
        <v>99.999950835912401</v>
      </c>
    </row>
    <row r="383" spans="1:18" s="87" customFormat="1" ht="31" x14ac:dyDescent="0.35">
      <c r="A383" s="84"/>
      <c r="B383" s="180"/>
      <c r="C383" s="180"/>
      <c r="D383" s="180"/>
      <c r="E383" s="180"/>
      <c r="F383" s="181"/>
      <c r="G383" s="51" t="s">
        <v>5</v>
      </c>
      <c r="H383" s="51"/>
      <c r="I383" s="47"/>
      <c r="J383" s="48">
        <v>300</v>
      </c>
      <c r="K383" s="49">
        <v>12230244</v>
      </c>
      <c r="L383" s="49"/>
      <c r="M383" s="225">
        <f>K383+L383</f>
        <v>12230244</v>
      </c>
      <c r="N383" s="49"/>
      <c r="O383" s="353">
        <v>2034005</v>
      </c>
      <c r="P383" s="353"/>
      <c r="Q383" s="353">
        <v>2034004</v>
      </c>
      <c r="R383" s="350">
        <f t="shared" si="24"/>
        <v>99.999950835912401</v>
      </c>
    </row>
    <row r="384" spans="1:18" s="87" customFormat="1" ht="31" hidden="1" x14ac:dyDescent="0.35">
      <c r="A384" s="84"/>
      <c r="B384" s="180"/>
      <c r="C384" s="180"/>
      <c r="D384" s="180"/>
      <c r="E384" s="180"/>
      <c r="F384" s="181"/>
      <c r="G384" s="51" t="s">
        <v>474</v>
      </c>
      <c r="H384" s="51"/>
      <c r="I384" s="47" t="s">
        <v>444</v>
      </c>
      <c r="J384" s="48"/>
      <c r="K384" s="49">
        <f>K385+K387</f>
        <v>10174320</v>
      </c>
      <c r="L384" s="49">
        <f>L385+L387</f>
        <v>0</v>
      </c>
      <c r="M384" s="225">
        <f>M385+M387</f>
        <v>10174320</v>
      </c>
      <c r="N384" s="49">
        <f>N385+N387</f>
        <v>0</v>
      </c>
      <c r="O384" s="355">
        <f>O386+O387</f>
        <v>0</v>
      </c>
      <c r="P384" s="353"/>
      <c r="Q384" s="353"/>
      <c r="R384" s="350" t="e">
        <f t="shared" si="24"/>
        <v>#DIV/0!</v>
      </c>
    </row>
    <row r="385" spans="1:18" s="87" customFormat="1" ht="36" hidden="1" customHeight="1" x14ac:dyDescent="0.35">
      <c r="A385" s="84"/>
      <c r="B385" s="180"/>
      <c r="C385" s="180"/>
      <c r="D385" s="180"/>
      <c r="E385" s="180"/>
      <c r="F385" s="181"/>
      <c r="G385" s="51" t="s">
        <v>2</v>
      </c>
      <c r="H385" s="51"/>
      <c r="I385" s="47"/>
      <c r="J385" s="48">
        <v>200</v>
      </c>
      <c r="K385" s="49">
        <v>0</v>
      </c>
      <c r="L385" s="49"/>
      <c r="M385" s="225">
        <f>K385+L385</f>
        <v>0</v>
      </c>
      <c r="N385" s="49"/>
      <c r="O385" s="355"/>
      <c r="P385" s="353"/>
      <c r="Q385" s="353"/>
      <c r="R385" s="350" t="e">
        <f t="shared" si="24"/>
        <v>#DIV/0!</v>
      </c>
    </row>
    <row r="386" spans="1:18" s="87" customFormat="1" ht="36" hidden="1" customHeight="1" x14ac:dyDescent="0.35">
      <c r="A386" s="84"/>
      <c r="B386" s="260"/>
      <c r="C386" s="260"/>
      <c r="D386" s="260"/>
      <c r="E386" s="260"/>
      <c r="F386" s="261"/>
      <c r="G386" s="51" t="s">
        <v>2</v>
      </c>
      <c r="H386" s="51"/>
      <c r="I386" s="47"/>
      <c r="J386" s="48">
        <v>200</v>
      </c>
      <c r="K386" s="49"/>
      <c r="L386" s="49"/>
      <c r="M386" s="225"/>
      <c r="N386" s="49"/>
      <c r="O386" s="355">
        <f>141900-141900</f>
        <v>0</v>
      </c>
      <c r="P386" s="353"/>
      <c r="Q386" s="353"/>
      <c r="R386" s="350" t="e">
        <f t="shared" ref="R386:R449" si="29">Q386/O386*100</f>
        <v>#DIV/0!</v>
      </c>
    </row>
    <row r="387" spans="1:18" s="87" customFormat="1" hidden="1" x14ac:dyDescent="0.35">
      <c r="A387" s="84"/>
      <c r="B387" s="180"/>
      <c r="C387" s="180"/>
      <c r="D387" s="180"/>
      <c r="E387" s="180"/>
      <c r="F387" s="181"/>
      <c r="G387" s="51" t="s">
        <v>5</v>
      </c>
      <c r="H387" s="51"/>
      <c r="I387" s="47"/>
      <c r="J387" s="48">
        <v>300</v>
      </c>
      <c r="K387" s="49">
        <v>10174320</v>
      </c>
      <c r="L387" s="49"/>
      <c r="M387" s="225">
        <f>K387+L387</f>
        <v>10174320</v>
      </c>
      <c r="N387" s="49"/>
      <c r="O387" s="355"/>
      <c r="P387" s="353"/>
      <c r="Q387" s="353"/>
      <c r="R387" s="350" t="e">
        <f t="shared" si="29"/>
        <v>#DIV/0!</v>
      </c>
    </row>
    <row r="388" spans="1:18" s="87" customFormat="1" ht="77.5" x14ac:dyDescent="0.35">
      <c r="A388" s="84"/>
      <c r="B388" s="215"/>
      <c r="C388" s="215"/>
      <c r="D388" s="215"/>
      <c r="E388" s="215"/>
      <c r="F388" s="216"/>
      <c r="G388" s="51" t="s">
        <v>375</v>
      </c>
      <c r="H388" s="51"/>
      <c r="I388" s="47" t="s">
        <v>524</v>
      </c>
      <c r="J388" s="48"/>
      <c r="K388" s="49">
        <f>K389</f>
        <v>173300</v>
      </c>
      <c r="L388" s="49"/>
      <c r="M388" s="225"/>
      <c r="N388" s="49">
        <f>N389</f>
        <v>0</v>
      </c>
      <c r="O388" s="355">
        <f>O389</f>
        <v>27218</v>
      </c>
      <c r="P388" s="353"/>
      <c r="Q388" s="353">
        <f>Q389</f>
        <v>27217.91</v>
      </c>
      <c r="R388" s="350">
        <f t="shared" si="29"/>
        <v>99.999669336468514</v>
      </c>
    </row>
    <row r="389" spans="1:18" s="87" customFormat="1" ht="31" x14ac:dyDescent="0.35">
      <c r="A389" s="84"/>
      <c r="B389" s="215"/>
      <c r="C389" s="215"/>
      <c r="D389" s="215"/>
      <c r="E389" s="215"/>
      <c r="F389" s="216"/>
      <c r="G389" s="51" t="s">
        <v>2</v>
      </c>
      <c r="H389" s="51"/>
      <c r="I389" s="47"/>
      <c r="J389" s="48">
        <v>200</v>
      </c>
      <c r="K389" s="49">
        <v>173300</v>
      </c>
      <c r="L389" s="49"/>
      <c r="M389" s="225"/>
      <c r="N389" s="49"/>
      <c r="O389" s="353">
        <v>27218</v>
      </c>
      <c r="P389" s="353"/>
      <c r="Q389" s="353">
        <v>27217.91</v>
      </c>
      <c r="R389" s="350">
        <f t="shared" si="29"/>
        <v>99.999669336468514</v>
      </c>
    </row>
    <row r="390" spans="1:18" ht="46.5" x14ac:dyDescent="0.35">
      <c r="A390" s="4"/>
      <c r="B390" s="12"/>
      <c r="C390" s="12"/>
      <c r="D390" s="12"/>
      <c r="E390" s="12"/>
      <c r="F390" s="13"/>
      <c r="G390" s="63" t="s">
        <v>207</v>
      </c>
      <c r="H390" s="63"/>
      <c r="I390" s="64" t="s">
        <v>205</v>
      </c>
      <c r="J390" s="48"/>
      <c r="K390" s="49">
        <f>K391+K395+K397</f>
        <v>9190990</v>
      </c>
      <c r="L390" s="49">
        <f>L391</f>
        <v>0</v>
      </c>
      <c r="M390" s="225">
        <f>M391</f>
        <v>2314460</v>
      </c>
      <c r="N390" s="49">
        <f>N391+N395+N397</f>
        <v>0</v>
      </c>
      <c r="O390" s="355">
        <f>O391+O395+O397</f>
        <v>10023647</v>
      </c>
      <c r="P390" s="353"/>
      <c r="Q390" s="353">
        <f>Q391+Q395+Q397</f>
        <v>10023643.59</v>
      </c>
      <c r="R390" s="350">
        <f t="shared" si="29"/>
        <v>99.999965980446035</v>
      </c>
    </row>
    <row r="391" spans="1:18" s="87" customFormat="1" ht="31" x14ac:dyDescent="0.35">
      <c r="A391" s="84"/>
      <c r="B391" s="92"/>
      <c r="C391" s="92"/>
      <c r="D391" s="92"/>
      <c r="E391" s="92"/>
      <c r="F391" s="93"/>
      <c r="G391" s="51" t="s">
        <v>397</v>
      </c>
      <c r="H391" s="51"/>
      <c r="I391" s="47" t="s">
        <v>206</v>
      </c>
      <c r="J391" s="48"/>
      <c r="K391" s="49">
        <f>K393+K392</f>
        <v>878140</v>
      </c>
      <c r="L391" s="49">
        <f>L393+L392</f>
        <v>0</v>
      </c>
      <c r="M391" s="225">
        <f>M393+M392</f>
        <v>2314460</v>
      </c>
      <c r="N391" s="49">
        <f>N393+N392</f>
        <v>0</v>
      </c>
      <c r="O391" s="355">
        <f>O393+O392</f>
        <v>2227304</v>
      </c>
      <c r="P391" s="353"/>
      <c r="Q391" s="353">
        <f>Q393+Q392</f>
        <v>2227302.3400000003</v>
      </c>
      <c r="R391" s="350">
        <f t="shared" si="29"/>
        <v>99.999925470434221</v>
      </c>
    </row>
    <row r="392" spans="1:18" s="87" customFormat="1" ht="31" x14ac:dyDescent="0.35">
      <c r="A392" s="84"/>
      <c r="B392" s="164"/>
      <c r="C392" s="164"/>
      <c r="D392" s="164"/>
      <c r="E392" s="164"/>
      <c r="F392" s="165"/>
      <c r="G392" s="51" t="s">
        <v>2</v>
      </c>
      <c r="H392" s="51"/>
      <c r="I392" s="47"/>
      <c r="J392" s="48">
        <v>200</v>
      </c>
      <c r="K392" s="49">
        <v>12640</v>
      </c>
      <c r="L392" s="49"/>
      <c r="M392" s="225">
        <v>38000</v>
      </c>
      <c r="N392" s="49"/>
      <c r="O392" s="353">
        <v>28523</v>
      </c>
      <c r="P392" s="353"/>
      <c r="Q392" s="353">
        <v>28521.99</v>
      </c>
      <c r="R392" s="350">
        <f t="shared" si="29"/>
        <v>99.996458998001614</v>
      </c>
    </row>
    <row r="393" spans="1:18" s="87" customFormat="1" ht="31" x14ac:dyDescent="0.35">
      <c r="A393" s="84"/>
      <c r="B393" s="92"/>
      <c r="C393" s="92"/>
      <c r="D393" s="92"/>
      <c r="E393" s="92"/>
      <c r="F393" s="93"/>
      <c r="G393" s="51" t="s">
        <v>5</v>
      </c>
      <c r="H393" s="51"/>
      <c r="I393" s="47"/>
      <c r="J393" s="48">
        <v>300</v>
      </c>
      <c r="K393" s="49">
        <v>865500</v>
      </c>
      <c r="L393" s="49"/>
      <c r="M393" s="225">
        <v>2276460</v>
      </c>
      <c r="N393" s="49"/>
      <c r="O393" s="353">
        <v>2198781</v>
      </c>
      <c r="P393" s="353"/>
      <c r="Q393" s="353">
        <v>2198780.35</v>
      </c>
      <c r="R393" s="350">
        <f t="shared" si="29"/>
        <v>99.999970438165519</v>
      </c>
    </row>
    <row r="394" spans="1:18" ht="49.5" hidden="1" customHeight="1" x14ac:dyDescent="0.35">
      <c r="A394" s="4"/>
      <c r="B394" s="10"/>
      <c r="C394" s="10"/>
      <c r="D394" s="10"/>
      <c r="E394" s="10"/>
      <c r="F394" s="11"/>
      <c r="G394" s="51" t="s">
        <v>352</v>
      </c>
      <c r="H394" s="115"/>
      <c r="I394" s="47" t="s">
        <v>208</v>
      </c>
      <c r="J394" s="48" t="s">
        <v>0</v>
      </c>
      <c r="K394" s="49">
        <f>K399</f>
        <v>57807486</v>
      </c>
      <c r="L394" s="49"/>
      <c r="M394" s="225">
        <f>M399</f>
        <v>57807486</v>
      </c>
      <c r="N394" s="49"/>
      <c r="O394" s="355"/>
      <c r="P394" s="353"/>
      <c r="Q394" s="353"/>
      <c r="R394" s="350" t="e">
        <f t="shared" si="29"/>
        <v>#DIV/0!</v>
      </c>
    </row>
    <row r="395" spans="1:18" ht="62" x14ac:dyDescent="0.35">
      <c r="A395" s="4"/>
      <c r="B395" s="10"/>
      <c r="C395" s="10"/>
      <c r="D395" s="10"/>
      <c r="E395" s="10"/>
      <c r="F395" s="11"/>
      <c r="G395" s="51" t="s">
        <v>513</v>
      </c>
      <c r="H395" s="115"/>
      <c r="I395" s="47" t="s">
        <v>511</v>
      </c>
      <c r="J395" s="48"/>
      <c r="K395" s="49">
        <f>K396</f>
        <v>122850</v>
      </c>
      <c r="L395" s="49"/>
      <c r="M395" s="225"/>
      <c r="N395" s="49">
        <f>N396</f>
        <v>0</v>
      </c>
      <c r="O395" s="356">
        <f>O396</f>
        <v>85550</v>
      </c>
      <c r="P395" s="353"/>
      <c r="Q395" s="353">
        <f>Q396</f>
        <v>85549.25</v>
      </c>
      <c r="R395" s="350">
        <f t="shared" si="29"/>
        <v>99.999123319696082</v>
      </c>
    </row>
    <row r="396" spans="1:18" ht="31" x14ac:dyDescent="0.35">
      <c r="A396" s="4"/>
      <c r="B396" s="10"/>
      <c r="C396" s="10"/>
      <c r="D396" s="10"/>
      <c r="E396" s="10"/>
      <c r="F396" s="11"/>
      <c r="G396" s="51" t="s">
        <v>2</v>
      </c>
      <c r="H396" s="115"/>
      <c r="I396" s="47"/>
      <c r="J396" s="48">
        <v>200</v>
      </c>
      <c r="K396" s="49">
        <v>122850</v>
      </c>
      <c r="L396" s="49"/>
      <c r="M396" s="225"/>
      <c r="N396" s="49"/>
      <c r="O396" s="353">
        <f>114218-28668</f>
        <v>85550</v>
      </c>
      <c r="P396" s="353"/>
      <c r="Q396" s="353">
        <v>85549.25</v>
      </c>
      <c r="R396" s="350">
        <f t="shared" si="29"/>
        <v>99.999123319696082</v>
      </c>
    </row>
    <row r="397" spans="1:18" ht="62" x14ac:dyDescent="0.35">
      <c r="A397" s="4"/>
      <c r="B397" s="10"/>
      <c r="C397" s="10"/>
      <c r="D397" s="10"/>
      <c r="E397" s="10"/>
      <c r="F397" s="11"/>
      <c r="G397" s="51" t="s">
        <v>514</v>
      </c>
      <c r="H397" s="115"/>
      <c r="I397" s="47" t="s">
        <v>512</v>
      </c>
      <c r="J397" s="48"/>
      <c r="K397" s="49">
        <f>K398</f>
        <v>8190000</v>
      </c>
      <c r="L397" s="49"/>
      <c r="M397" s="225"/>
      <c r="N397" s="49">
        <f>N398</f>
        <v>0</v>
      </c>
      <c r="O397" s="355">
        <f>O398</f>
        <v>7710793</v>
      </c>
      <c r="P397" s="353"/>
      <c r="Q397" s="353">
        <f>Q398</f>
        <v>7710792</v>
      </c>
      <c r="R397" s="350">
        <f t="shared" si="29"/>
        <v>99.999987031165276</v>
      </c>
    </row>
    <row r="398" spans="1:18" ht="31" x14ac:dyDescent="0.35">
      <c r="A398" s="4"/>
      <c r="B398" s="10"/>
      <c r="C398" s="10"/>
      <c r="D398" s="10"/>
      <c r="E398" s="10"/>
      <c r="F398" s="11"/>
      <c r="G398" s="51" t="s">
        <v>5</v>
      </c>
      <c r="H398" s="115"/>
      <c r="I398" s="47"/>
      <c r="J398" s="48">
        <v>300</v>
      </c>
      <c r="K398" s="49">
        <v>8190000</v>
      </c>
      <c r="L398" s="49"/>
      <c r="M398" s="225"/>
      <c r="N398" s="49"/>
      <c r="O398" s="353">
        <f>1714701+5558595+341218+96279</f>
        <v>7710793</v>
      </c>
      <c r="P398" s="353"/>
      <c r="Q398" s="353">
        <v>7710792</v>
      </c>
      <c r="R398" s="350">
        <f t="shared" si="29"/>
        <v>99.999987031165276</v>
      </c>
    </row>
    <row r="399" spans="1:18" ht="31" x14ac:dyDescent="0.35">
      <c r="A399" s="4"/>
      <c r="B399" s="10"/>
      <c r="C399" s="10"/>
      <c r="D399" s="10"/>
      <c r="E399" s="10"/>
      <c r="F399" s="11"/>
      <c r="G399" s="63" t="s">
        <v>211</v>
      </c>
      <c r="H399" s="63"/>
      <c r="I399" s="64" t="s">
        <v>354</v>
      </c>
      <c r="J399" s="48"/>
      <c r="K399" s="49">
        <f t="shared" ref="K399:Q400" si="30">K400</f>
        <v>57807486</v>
      </c>
      <c r="L399" s="49">
        <f t="shared" si="30"/>
        <v>0</v>
      </c>
      <c r="M399" s="225">
        <f t="shared" si="30"/>
        <v>57807486</v>
      </c>
      <c r="N399" s="49">
        <f t="shared" si="30"/>
        <v>0</v>
      </c>
      <c r="O399" s="355">
        <f>O400+O414</f>
        <v>70153739</v>
      </c>
      <c r="P399" s="353"/>
      <c r="Q399" s="353">
        <f>Q400+Q414</f>
        <v>70153739</v>
      </c>
      <c r="R399" s="350">
        <f t="shared" si="29"/>
        <v>100</v>
      </c>
    </row>
    <row r="400" spans="1:18" s="87" customFormat="1" ht="108.5" x14ac:dyDescent="0.35">
      <c r="A400" s="84"/>
      <c r="B400" s="90"/>
      <c r="C400" s="90"/>
      <c r="D400" s="90"/>
      <c r="E400" s="90"/>
      <c r="F400" s="91"/>
      <c r="G400" s="51" t="s">
        <v>398</v>
      </c>
      <c r="H400" s="51"/>
      <c r="I400" s="47" t="s">
        <v>355</v>
      </c>
      <c r="J400" s="48"/>
      <c r="K400" s="49">
        <f t="shared" si="30"/>
        <v>57807486</v>
      </c>
      <c r="L400" s="49">
        <f t="shared" si="30"/>
        <v>0</v>
      </c>
      <c r="M400" s="225">
        <f t="shared" si="30"/>
        <v>57807486</v>
      </c>
      <c r="N400" s="49">
        <f t="shared" si="30"/>
        <v>0</v>
      </c>
      <c r="O400" s="355">
        <f t="shared" si="30"/>
        <v>69898739</v>
      </c>
      <c r="P400" s="353"/>
      <c r="Q400" s="353">
        <f t="shared" si="30"/>
        <v>69898739</v>
      </c>
      <c r="R400" s="350">
        <f t="shared" si="29"/>
        <v>100</v>
      </c>
    </row>
    <row r="401" spans="1:18" s="87" customFormat="1" ht="46.5" x14ac:dyDescent="0.35">
      <c r="A401" s="84"/>
      <c r="B401" s="90"/>
      <c r="C401" s="90"/>
      <c r="D401" s="90"/>
      <c r="E401" s="90"/>
      <c r="F401" s="91"/>
      <c r="G401" s="51" t="s">
        <v>4</v>
      </c>
      <c r="H401" s="51"/>
      <c r="I401" s="79"/>
      <c r="J401" s="48">
        <v>600</v>
      </c>
      <c r="K401" s="49">
        <v>57807486</v>
      </c>
      <c r="L401" s="49">
        <v>0</v>
      </c>
      <c r="M401" s="225">
        <f>K401+L401</f>
        <v>57807486</v>
      </c>
      <c r="N401" s="49"/>
      <c r="O401" s="353">
        <f>69398125+500614</f>
        <v>69898739</v>
      </c>
      <c r="P401" s="353"/>
      <c r="Q401" s="353">
        <v>69898739</v>
      </c>
      <c r="R401" s="350">
        <f t="shared" si="29"/>
        <v>100</v>
      </c>
    </row>
    <row r="402" spans="1:18" ht="69" hidden="1" customHeight="1" x14ac:dyDescent="0.35">
      <c r="A402" s="4"/>
      <c r="B402" s="12"/>
      <c r="C402" s="12"/>
      <c r="D402" s="12"/>
      <c r="E402" s="12"/>
      <c r="F402" s="13"/>
      <c r="G402" s="115" t="s">
        <v>415</v>
      </c>
      <c r="H402" s="115"/>
      <c r="I402" s="60" t="s">
        <v>208</v>
      </c>
      <c r="J402" s="48"/>
      <c r="K402" s="121">
        <f>K403</f>
        <v>0</v>
      </c>
      <c r="L402" s="49"/>
      <c r="M402" s="226">
        <f>M403</f>
        <v>0</v>
      </c>
      <c r="N402" s="121"/>
      <c r="O402" s="355"/>
      <c r="P402" s="353"/>
      <c r="Q402" s="353"/>
      <c r="R402" s="350" t="e">
        <f t="shared" si="29"/>
        <v>#DIV/0!</v>
      </c>
    </row>
    <row r="403" spans="1:18" ht="31" hidden="1" x14ac:dyDescent="0.35">
      <c r="A403" s="4"/>
      <c r="B403" s="384" t="s">
        <v>20</v>
      </c>
      <c r="C403" s="384"/>
      <c r="D403" s="384"/>
      <c r="E403" s="384"/>
      <c r="F403" s="385"/>
      <c r="G403" s="63" t="s">
        <v>353</v>
      </c>
      <c r="H403" s="63"/>
      <c r="I403" s="64" t="s">
        <v>209</v>
      </c>
      <c r="J403" s="48"/>
      <c r="K403" s="49">
        <f>K404</f>
        <v>0</v>
      </c>
      <c r="L403" s="49"/>
      <c r="M403" s="225">
        <f>M404</f>
        <v>0</v>
      </c>
      <c r="N403" s="49"/>
      <c r="O403" s="355"/>
      <c r="P403" s="353"/>
      <c r="Q403" s="353"/>
      <c r="R403" s="350" t="e">
        <f t="shared" si="29"/>
        <v>#DIV/0!</v>
      </c>
    </row>
    <row r="404" spans="1:18" ht="46.5" hidden="1" x14ac:dyDescent="0.35">
      <c r="A404" s="4"/>
      <c r="B404" s="17"/>
      <c r="C404" s="17"/>
      <c r="D404" s="17"/>
      <c r="E404" s="17"/>
      <c r="F404" s="18"/>
      <c r="G404" s="66" t="s">
        <v>414</v>
      </c>
      <c r="H404" s="51"/>
      <c r="I404" s="47" t="s">
        <v>210</v>
      </c>
      <c r="J404" s="48"/>
      <c r="K404" s="49">
        <f>K405+K406</f>
        <v>0</v>
      </c>
      <c r="L404" s="49"/>
      <c r="M404" s="225">
        <f>M405+M406</f>
        <v>0</v>
      </c>
      <c r="N404" s="49"/>
      <c r="O404" s="355"/>
      <c r="P404" s="353"/>
      <c r="Q404" s="353"/>
      <c r="R404" s="350" t="e">
        <f t="shared" si="29"/>
        <v>#DIV/0!</v>
      </c>
    </row>
    <row r="405" spans="1:18" s="56" customFormat="1" ht="39.75" hidden="1" customHeight="1" x14ac:dyDescent="0.35">
      <c r="A405" s="53"/>
      <c r="B405" s="54"/>
      <c r="C405" s="54"/>
      <c r="D405" s="54"/>
      <c r="E405" s="54"/>
      <c r="F405" s="55"/>
      <c r="G405" s="51" t="s">
        <v>2</v>
      </c>
      <c r="H405" s="51"/>
      <c r="I405" s="47"/>
      <c r="J405" s="48">
        <v>200</v>
      </c>
      <c r="K405" s="49">
        <v>0</v>
      </c>
      <c r="L405" s="49"/>
      <c r="M405" s="225">
        <v>0</v>
      </c>
      <c r="N405" s="49"/>
      <c r="O405" s="355"/>
      <c r="P405" s="353"/>
      <c r="Q405" s="353"/>
      <c r="R405" s="350" t="e">
        <f t="shared" si="29"/>
        <v>#DIV/0!</v>
      </c>
    </row>
    <row r="406" spans="1:18" s="56" customFormat="1" ht="39.75" hidden="1" customHeight="1" x14ac:dyDescent="0.35">
      <c r="A406" s="53"/>
      <c r="B406" s="54"/>
      <c r="C406" s="54"/>
      <c r="D406" s="54"/>
      <c r="E406" s="54"/>
      <c r="F406" s="55"/>
      <c r="G406" s="51" t="s">
        <v>4</v>
      </c>
      <c r="H406" s="51"/>
      <c r="I406" s="47"/>
      <c r="J406" s="48">
        <v>600</v>
      </c>
      <c r="K406" s="49">
        <v>0</v>
      </c>
      <c r="L406" s="49"/>
      <c r="M406" s="225">
        <v>0</v>
      </c>
      <c r="N406" s="49"/>
      <c r="O406" s="355"/>
      <c r="P406" s="353"/>
      <c r="Q406" s="353"/>
      <c r="R406" s="350" t="e">
        <f t="shared" si="29"/>
        <v>#DIV/0!</v>
      </c>
    </row>
    <row r="407" spans="1:18" s="56" customFormat="1" ht="33" hidden="1" customHeight="1" x14ac:dyDescent="0.35">
      <c r="A407" s="53"/>
      <c r="B407" s="54"/>
      <c r="C407" s="54"/>
      <c r="D407" s="54"/>
      <c r="E407" s="54"/>
      <c r="F407" s="55"/>
      <c r="G407" s="63" t="s">
        <v>448</v>
      </c>
      <c r="H407" s="51"/>
      <c r="I407" s="64" t="s">
        <v>449</v>
      </c>
      <c r="J407" s="48"/>
      <c r="K407" s="49">
        <f t="shared" ref="K407:M408" si="31">K408</f>
        <v>0</v>
      </c>
      <c r="L407" s="49">
        <f t="shared" si="31"/>
        <v>0</v>
      </c>
      <c r="M407" s="225">
        <f t="shared" si="31"/>
        <v>0</v>
      </c>
      <c r="N407" s="49"/>
      <c r="O407" s="355"/>
      <c r="P407" s="353"/>
      <c r="Q407" s="353"/>
      <c r="R407" s="350" t="e">
        <f t="shared" si="29"/>
        <v>#DIV/0!</v>
      </c>
    </row>
    <row r="408" spans="1:18" s="56" customFormat="1" ht="46.4" hidden="1" customHeight="1" x14ac:dyDescent="0.35">
      <c r="A408" s="53"/>
      <c r="B408" s="54"/>
      <c r="C408" s="54"/>
      <c r="D408" s="54"/>
      <c r="E408" s="54"/>
      <c r="F408" s="55"/>
      <c r="G408" s="51" t="s">
        <v>473</v>
      </c>
      <c r="H408" s="63"/>
      <c r="I408" s="47" t="s">
        <v>445</v>
      </c>
      <c r="J408" s="48"/>
      <c r="K408" s="49">
        <f t="shared" si="31"/>
        <v>0</v>
      </c>
      <c r="L408" s="49">
        <f t="shared" si="31"/>
        <v>0</v>
      </c>
      <c r="M408" s="225">
        <f t="shared" si="31"/>
        <v>0</v>
      </c>
      <c r="N408" s="49"/>
      <c r="O408" s="355"/>
      <c r="P408" s="353"/>
      <c r="Q408" s="353"/>
      <c r="R408" s="350" t="e">
        <f t="shared" si="29"/>
        <v>#DIV/0!</v>
      </c>
    </row>
    <row r="409" spans="1:18" s="56" customFormat="1" ht="39.75" hidden="1" customHeight="1" x14ac:dyDescent="0.35">
      <c r="A409" s="53"/>
      <c r="B409" s="54"/>
      <c r="C409" s="54"/>
      <c r="D409" s="54"/>
      <c r="E409" s="54"/>
      <c r="F409" s="55"/>
      <c r="G409" s="51" t="s">
        <v>4</v>
      </c>
      <c r="H409" s="63"/>
      <c r="I409" s="47"/>
      <c r="J409" s="48">
        <v>600</v>
      </c>
      <c r="K409" s="49"/>
      <c r="L409" s="49">
        <v>0</v>
      </c>
      <c r="M409" s="225">
        <f>K409+L409</f>
        <v>0</v>
      </c>
      <c r="N409" s="49"/>
      <c r="O409" s="355"/>
      <c r="P409" s="353"/>
      <c r="Q409" s="353"/>
      <c r="R409" s="350" t="e">
        <f t="shared" si="29"/>
        <v>#DIV/0!</v>
      </c>
    </row>
    <row r="410" spans="1:18" s="56" customFormat="1" ht="31" hidden="1" x14ac:dyDescent="0.35">
      <c r="A410" s="53"/>
      <c r="B410" s="54"/>
      <c r="C410" s="54"/>
      <c r="D410" s="54"/>
      <c r="E410" s="54"/>
      <c r="F410" s="55"/>
      <c r="G410" s="137" t="s">
        <v>563</v>
      </c>
      <c r="H410" s="63"/>
      <c r="I410" s="47" t="s">
        <v>484</v>
      </c>
      <c r="J410" s="48"/>
      <c r="K410" s="49">
        <f>K411</f>
        <v>10000</v>
      </c>
      <c r="L410" s="49"/>
      <c r="M410" s="225"/>
      <c r="N410" s="49">
        <f t="shared" ref="N410:O412" si="32">N411</f>
        <v>0</v>
      </c>
      <c r="O410" s="355">
        <f t="shared" si="32"/>
        <v>0</v>
      </c>
      <c r="P410" s="353"/>
      <c r="Q410" s="353"/>
      <c r="R410" s="350" t="e">
        <f t="shared" si="29"/>
        <v>#DIV/0!</v>
      </c>
    </row>
    <row r="411" spans="1:18" s="56" customFormat="1" ht="46.5" hidden="1" x14ac:dyDescent="0.35">
      <c r="A411" s="53"/>
      <c r="B411" s="54"/>
      <c r="C411" s="54"/>
      <c r="D411" s="54"/>
      <c r="E411" s="54"/>
      <c r="F411" s="55"/>
      <c r="G411" s="141" t="s">
        <v>487</v>
      </c>
      <c r="H411" s="63"/>
      <c r="I411" s="64" t="s">
        <v>485</v>
      </c>
      <c r="J411" s="48"/>
      <c r="K411" s="49">
        <f>K412</f>
        <v>10000</v>
      </c>
      <c r="L411" s="49"/>
      <c r="M411" s="225"/>
      <c r="N411" s="49">
        <f t="shared" si="32"/>
        <v>0</v>
      </c>
      <c r="O411" s="355">
        <f t="shared" si="32"/>
        <v>0</v>
      </c>
      <c r="P411" s="353"/>
      <c r="Q411" s="353"/>
      <c r="R411" s="350" t="e">
        <f t="shared" si="29"/>
        <v>#DIV/0!</v>
      </c>
    </row>
    <row r="412" spans="1:18" s="56" customFormat="1" ht="46.5" hidden="1" x14ac:dyDescent="0.35">
      <c r="A412" s="53"/>
      <c r="B412" s="54"/>
      <c r="C412" s="54"/>
      <c r="D412" s="54"/>
      <c r="E412" s="54"/>
      <c r="F412" s="55"/>
      <c r="G412" s="137" t="s">
        <v>564</v>
      </c>
      <c r="H412" s="63"/>
      <c r="I412" s="47" t="s">
        <v>486</v>
      </c>
      <c r="J412" s="48"/>
      <c r="K412" s="49">
        <f>K413</f>
        <v>10000</v>
      </c>
      <c r="L412" s="49"/>
      <c r="M412" s="225"/>
      <c r="N412" s="49">
        <f t="shared" si="32"/>
        <v>0</v>
      </c>
      <c r="O412" s="355">
        <f t="shared" si="32"/>
        <v>0</v>
      </c>
      <c r="P412" s="353"/>
      <c r="Q412" s="353"/>
      <c r="R412" s="350" t="e">
        <f t="shared" si="29"/>
        <v>#DIV/0!</v>
      </c>
    </row>
    <row r="413" spans="1:18" s="56" customFormat="1" ht="31" hidden="1" x14ac:dyDescent="0.35">
      <c r="A413" s="53"/>
      <c r="B413" s="54"/>
      <c r="C413" s="54"/>
      <c r="D413" s="54"/>
      <c r="E413" s="54"/>
      <c r="F413" s="55"/>
      <c r="G413" s="51" t="s">
        <v>2</v>
      </c>
      <c r="H413" s="63"/>
      <c r="I413" s="60"/>
      <c r="J413" s="48">
        <v>200</v>
      </c>
      <c r="K413" s="49">
        <v>10000</v>
      </c>
      <c r="L413" s="49"/>
      <c r="M413" s="225"/>
      <c r="N413" s="49"/>
      <c r="O413" s="355"/>
      <c r="P413" s="353"/>
      <c r="Q413" s="353"/>
      <c r="R413" s="350" t="e">
        <f t="shared" si="29"/>
        <v>#DIV/0!</v>
      </c>
    </row>
    <row r="414" spans="1:18" s="56" customFormat="1" ht="46.5" x14ac:dyDescent="0.35">
      <c r="A414" s="53"/>
      <c r="B414" s="54"/>
      <c r="C414" s="54"/>
      <c r="D414" s="54"/>
      <c r="E414" s="54"/>
      <c r="F414" s="55"/>
      <c r="G414" s="51" t="s">
        <v>708</v>
      </c>
      <c r="H414" s="63"/>
      <c r="I414" s="3" t="s">
        <v>713</v>
      </c>
      <c r="J414" s="48"/>
      <c r="K414" s="49"/>
      <c r="L414" s="49"/>
      <c r="M414" s="225"/>
      <c r="N414" s="49"/>
      <c r="O414" s="355">
        <f>O415</f>
        <v>255000</v>
      </c>
      <c r="P414" s="353"/>
      <c r="Q414" s="353">
        <f>Q415</f>
        <v>255000</v>
      </c>
      <c r="R414" s="350">
        <f t="shared" si="29"/>
        <v>100</v>
      </c>
    </row>
    <row r="415" spans="1:18" s="56" customFormat="1" ht="46.5" x14ac:dyDescent="0.35">
      <c r="A415" s="53"/>
      <c r="B415" s="54"/>
      <c r="C415" s="54"/>
      <c r="D415" s="54"/>
      <c r="E415" s="54"/>
      <c r="F415" s="55"/>
      <c r="G415" s="51" t="s">
        <v>4</v>
      </c>
      <c r="H415" s="63"/>
      <c r="I415" s="60"/>
      <c r="J415" s="48">
        <v>600</v>
      </c>
      <c r="K415" s="49"/>
      <c r="L415" s="49"/>
      <c r="M415" s="225"/>
      <c r="N415" s="49"/>
      <c r="O415" s="355">
        <v>255000</v>
      </c>
      <c r="P415" s="353"/>
      <c r="Q415" s="353">
        <v>255000</v>
      </c>
      <c r="R415" s="350">
        <f t="shared" si="29"/>
        <v>100</v>
      </c>
    </row>
    <row r="416" spans="1:18" s="56" customFormat="1" ht="45.5" x14ac:dyDescent="0.35">
      <c r="A416" s="53"/>
      <c r="B416" s="54"/>
      <c r="C416" s="54"/>
      <c r="D416" s="54"/>
      <c r="E416" s="54"/>
      <c r="F416" s="55"/>
      <c r="G416" s="302" t="s">
        <v>624</v>
      </c>
      <c r="H416" s="63"/>
      <c r="I416" s="287" t="s">
        <v>484</v>
      </c>
      <c r="J416" s="48"/>
      <c r="K416" s="49"/>
      <c r="L416" s="49"/>
      <c r="M416" s="225"/>
      <c r="N416" s="49"/>
      <c r="O416" s="355">
        <f>O417</f>
        <v>49950</v>
      </c>
      <c r="P416" s="353"/>
      <c r="Q416" s="353">
        <f>Q417</f>
        <v>49950</v>
      </c>
      <c r="R416" s="350">
        <f t="shared" si="29"/>
        <v>100</v>
      </c>
    </row>
    <row r="417" spans="1:18" s="56" customFormat="1" ht="46.5" x14ac:dyDescent="0.35">
      <c r="A417" s="53"/>
      <c r="B417" s="54"/>
      <c r="C417" s="54"/>
      <c r="D417" s="54"/>
      <c r="E417" s="54"/>
      <c r="F417" s="55"/>
      <c r="G417" s="63" t="s">
        <v>487</v>
      </c>
      <c r="H417" s="63"/>
      <c r="I417" s="64" t="s">
        <v>485</v>
      </c>
      <c r="J417" s="48"/>
      <c r="K417" s="49"/>
      <c r="L417" s="49"/>
      <c r="M417" s="225"/>
      <c r="N417" s="49"/>
      <c r="O417" s="355">
        <f>O418</f>
        <v>49950</v>
      </c>
      <c r="P417" s="353"/>
      <c r="Q417" s="353">
        <f>Q418</f>
        <v>49950</v>
      </c>
      <c r="R417" s="350">
        <f t="shared" si="29"/>
        <v>100</v>
      </c>
    </row>
    <row r="418" spans="1:18" s="56" customFormat="1" ht="62" x14ac:dyDescent="0.35">
      <c r="A418" s="53"/>
      <c r="B418" s="54"/>
      <c r="C418" s="54"/>
      <c r="D418" s="54"/>
      <c r="E418" s="54"/>
      <c r="F418" s="55"/>
      <c r="G418" s="51" t="s">
        <v>623</v>
      </c>
      <c r="H418" s="63"/>
      <c r="I418" s="47" t="s">
        <v>486</v>
      </c>
      <c r="J418" s="48"/>
      <c r="K418" s="49"/>
      <c r="L418" s="49"/>
      <c r="M418" s="225"/>
      <c r="N418" s="49"/>
      <c r="O418" s="355">
        <f>O420</f>
        <v>49950</v>
      </c>
      <c r="P418" s="353"/>
      <c r="Q418" s="353">
        <f>Q420</f>
        <v>49950</v>
      </c>
      <c r="R418" s="350">
        <f t="shared" si="29"/>
        <v>100</v>
      </c>
    </row>
    <row r="419" spans="1:18" s="56" customFormat="1" hidden="1" x14ac:dyDescent="0.35">
      <c r="A419" s="53"/>
      <c r="B419" s="54"/>
      <c r="C419" s="54"/>
      <c r="D419" s="54"/>
      <c r="E419" s="54"/>
      <c r="F419" s="55"/>
      <c r="G419" s="51"/>
      <c r="H419" s="63"/>
      <c r="I419" s="60"/>
      <c r="J419" s="48"/>
      <c r="K419" s="49"/>
      <c r="L419" s="49"/>
      <c r="M419" s="225"/>
      <c r="N419" s="49"/>
      <c r="O419" s="355"/>
      <c r="P419" s="353"/>
      <c r="Q419" s="353"/>
      <c r="R419" s="350" t="e">
        <f t="shared" si="29"/>
        <v>#DIV/0!</v>
      </c>
    </row>
    <row r="420" spans="1:18" s="56" customFormat="1" ht="31" x14ac:dyDescent="0.35">
      <c r="A420" s="53"/>
      <c r="B420" s="54"/>
      <c r="C420" s="54"/>
      <c r="D420" s="54"/>
      <c r="E420" s="54"/>
      <c r="F420" s="55"/>
      <c r="G420" s="51" t="s">
        <v>2</v>
      </c>
      <c r="H420" s="63"/>
      <c r="I420" s="60"/>
      <c r="J420" s="48">
        <v>200</v>
      </c>
      <c r="K420" s="49"/>
      <c r="L420" s="49"/>
      <c r="M420" s="225"/>
      <c r="N420" s="49"/>
      <c r="O420" s="355">
        <f>50000-50</f>
        <v>49950</v>
      </c>
      <c r="P420" s="353"/>
      <c r="Q420" s="353">
        <v>49950</v>
      </c>
      <c r="R420" s="350">
        <f t="shared" si="29"/>
        <v>100</v>
      </c>
    </row>
    <row r="421" spans="1:18" s="56" customFormat="1" ht="33.75" customHeight="1" x14ac:dyDescent="0.35">
      <c r="A421" s="53"/>
      <c r="B421" s="54"/>
      <c r="C421" s="54"/>
      <c r="D421" s="54"/>
      <c r="E421" s="54"/>
      <c r="F421" s="55"/>
      <c r="G421" s="303" t="s">
        <v>625</v>
      </c>
      <c r="H421" s="108"/>
      <c r="I421" s="60" t="s">
        <v>218</v>
      </c>
      <c r="J421" s="112"/>
      <c r="K421" s="110">
        <f>K422</f>
        <v>73000</v>
      </c>
      <c r="L421" s="113"/>
      <c r="M421" s="222">
        <f t="shared" ref="M421:Q422" si="33">M422</f>
        <v>79000</v>
      </c>
      <c r="N421" s="110">
        <f t="shared" si="33"/>
        <v>0</v>
      </c>
      <c r="O421" s="355">
        <f t="shared" si="33"/>
        <v>30000</v>
      </c>
      <c r="P421" s="353"/>
      <c r="Q421" s="353">
        <f t="shared" si="33"/>
        <v>29999.919999999998</v>
      </c>
      <c r="R421" s="350">
        <f t="shared" si="29"/>
        <v>99.999733333333324</v>
      </c>
    </row>
    <row r="422" spans="1:18" s="56" customFormat="1" ht="46.5" x14ac:dyDescent="0.35">
      <c r="A422" s="53"/>
      <c r="B422" s="54"/>
      <c r="C422" s="54"/>
      <c r="D422" s="54"/>
      <c r="E422" s="54"/>
      <c r="F422" s="55"/>
      <c r="G422" s="304" t="s">
        <v>626</v>
      </c>
      <c r="H422" s="111"/>
      <c r="I422" s="47" t="s">
        <v>219</v>
      </c>
      <c r="J422" s="112"/>
      <c r="K422" s="113">
        <f>K423</f>
        <v>73000</v>
      </c>
      <c r="L422" s="113"/>
      <c r="M422" s="223">
        <f t="shared" si="33"/>
        <v>79000</v>
      </c>
      <c r="N422" s="113">
        <f t="shared" si="33"/>
        <v>0</v>
      </c>
      <c r="O422" s="355">
        <f t="shared" si="33"/>
        <v>30000</v>
      </c>
      <c r="P422" s="353"/>
      <c r="Q422" s="353">
        <f t="shared" si="33"/>
        <v>29999.919999999998</v>
      </c>
      <c r="R422" s="350">
        <f t="shared" si="29"/>
        <v>99.999733333333324</v>
      </c>
    </row>
    <row r="423" spans="1:18" s="56" customFormat="1" ht="46.5" x14ac:dyDescent="0.35">
      <c r="A423" s="53"/>
      <c r="B423" s="54"/>
      <c r="C423" s="54"/>
      <c r="D423" s="54"/>
      <c r="E423" s="54"/>
      <c r="F423" s="55"/>
      <c r="G423" s="128" t="s">
        <v>221</v>
      </c>
      <c r="H423" s="128"/>
      <c r="I423" s="64" t="s">
        <v>220</v>
      </c>
      <c r="J423" s="126"/>
      <c r="K423" s="127">
        <f>K424+K428</f>
        <v>73000</v>
      </c>
      <c r="L423" s="127"/>
      <c r="M423" s="227">
        <f>M424+M428</f>
        <v>79000</v>
      </c>
      <c r="N423" s="113">
        <f>N424+N428</f>
        <v>0</v>
      </c>
      <c r="O423" s="355">
        <f>O424+O428</f>
        <v>30000</v>
      </c>
      <c r="P423" s="353"/>
      <c r="Q423" s="353">
        <f>Q424+Q428</f>
        <v>29999.919999999998</v>
      </c>
      <c r="R423" s="350">
        <f t="shared" si="29"/>
        <v>99.999733333333324</v>
      </c>
    </row>
    <row r="424" spans="1:18" s="56" customFormat="1" ht="46.5" x14ac:dyDescent="0.35">
      <c r="A424" s="53"/>
      <c r="B424" s="54"/>
      <c r="C424" s="54"/>
      <c r="D424" s="54"/>
      <c r="E424" s="54"/>
      <c r="F424" s="55"/>
      <c r="G424" s="305" t="s">
        <v>627</v>
      </c>
      <c r="H424" s="125"/>
      <c r="I424" s="47" t="s">
        <v>222</v>
      </c>
      <c r="J424" s="126"/>
      <c r="K424" s="127">
        <f>K425+K426+K427</f>
        <v>73000</v>
      </c>
      <c r="L424" s="127"/>
      <c r="M424" s="227">
        <f>M425+M426+M427</f>
        <v>79000</v>
      </c>
      <c r="N424" s="113">
        <f>N425+N426+N427</f>
        <v>0</v>
      </c>
      <c r="O424" s="355">
        <f>O425+O426+O427</f>
        <v>30000</v>
      </c>
      <c r="P424" s="353"/>
      <c r="Q424" s="353">
        <f>Q425+Q426+Q427</f>
        <v>29999.919999999998</v>
      </c>
      <c r="R424" s="350">
        <f t="shared" si="29"/>
        <v>99.999733333333324</v>
      </c>
    </row>
    <row r="425" spans="1:18" ht="31" x14ac:dyDescent="0.35">
      <c r="A425" s="4"/>
      <c r="B425" s="17"/>
      <c r="C425" s="17"/>
      <c r="D425" s="17"/>
      <c r="E425" s="17"/>
      <c r="F425" s="18"/>
      <c r="G425" s="111" t="s">
        <v>2</v>
      </c>
      <c r="H425" s="111"/>
      <c r="I425" s="112"/>
      <c r="J425" s="112">
        <v>200</v>
      </c>
      <c r="K425" s="113">
        <v>73000</v>
      </c>
      <c r="L425" s="113"/>
      <c r="M425" s="223">
        <v>79000</v>
      </c>
      <c r="N425" s="113"/>
      <c r="O425" s="355">
        <v>30000</v>
      </c>
      <c r="P425" s="353"/>
      <c r="Q425" s="353">
        <v>29999.919999999998</v>
      </c>
      <c r="R425" s="350">
        <f t="shared" si="29"/>
        <v>99.999733333333324</v>
      </c>
    </row>
    <row r="426" spans="1:18" ht="21.75" hidden="1" customHeight="1" x14ac:dyDescent="0.35">
      <c r="A426" s="4"/>
      <c r="B426" s="17"/>
      <c r="C426" s="17"/>
      <c r="D426" s="17"/>
      <c r="E426" s="17"/>
      <c r="F426" s="18"/>
      <c r="G426" s="111" t="s">
        <v>5</v>
      </c>
      <c r="H426" s="111"/>
      <c r="I426" s="112"/>
      <c r="J426" s="112">
        <v>300</v>
      </c>
      <c r="K426" s="113"/>
      <c r="L426" s="113"/>
      <c r="M426" s="223"/>
      <c r="N426" s="113"/>
      <c r="O426" s="355"/>
      <c r="P426" s="353"/>
      <c r="Q426" s="353"/>
      <c r="R426" s="350" t="e">
        <f t="shared" si="29"/>
        <v>#DIV/0!</v>
      </c>
    </row>
    <row r="427" spans="1:18" ht="42.75" hidden="1" customHeight="1" x14ac:dyDescent="0.35">
      <c r="A427" s="4"/>
      <c r="B427" s="17"/>
      <c r="C427" s="17"/>
      <c r="D427" s="17"/>
      <c r="E427" s="17"/>
      <c r="F427" s="18"/>
      <c r="G427" s="111" t="s">
        <v>4</v>
      </c>
      <c r="H427" s="111"/>
      <c r="I427" s="112"/>
      <c r="J427" s="112">
        <v>600</v>
      </c>
      <c r="K427" s="113">
        <v>0</v>
      </c>
      <c r="L427" s="113"/>
      <c r="M427" s="223">
        <v>0</v>
      </c>
      <c r="N427" s="113"/>
      <c r="O427" s="355"/>
      <c r="P427" s="353"/>
      <c r="Q427" s="353"/>
      <c r="R427" s="350" t="e">
        <f t="shared" si="29"/>
        <v>#DIV/0!</v>
      </c>
    </row>
    <row r="428" spans="1:18" ht="40.5" hidden="1" customHeight="1" x14ac:dyDescent="0.35">
      <c r="A428" s="4"/>
      <c r="B428" s="17"/>
      <c r="C428" s="17"/>
      <c r="D428" s="17"/>
      <c r="E428" s="17"/>
      <c r="F428" s="18"/>
      <c r="G428" s="111" t="s">
        <v>91</v>
      </c>
      <c r="H428" s="111"/>
      <c r="I428" s="47" t="s">
        <v>223</v>
      </c>
      <c r="J428" s="112"/>
      <c r="K428" s="113">
        <f>K429</f>
        <v>0</v>
      </c>
      <c r="L428" s="113"/>
      <c r="M428" s="223">
        <f>M429</f>
        <v>0</v>
      </c>
      <c r="N428" s="113"/>
      <c r="O428" s="355"/>
      <c r="P428" s="353"/>
      <c r="Q428" s="353"/>
      <c r="R428" s="350" t="e">
        <f t="shared" si="29"/>
        <v>#DIV/0!</v>
      </c>
    </row>
    <row r="429" spans="1:18" s="56" customFormat="1" ht="34.5" hidden="1" customHeight="1" x14ac:dyDescent="0.35">
      <c r="A429" s="53"/>
      <c r="B429" s="413" t="s">
        <v>19</v>
      </c>
      <c r="C429" s="413"/>
      <c r="D429" s="413"/>
      <c r="E429" s="413"/>
      <c r="F429" s="414"/>
      <c r="G429" s="111" t="s">
        <v>2</v>
      </c>
      <c r="H429" s="111"/>
      <c r="I429" s="112"/>
      <c r="J429" s="112">
        <v>200</v>
      </c>
      <c r="K429" s="113"/>
      <c r="L429" s="113"/>
      <c r="M429" s="223"/>
      <c r="N429" s="113"/>
      <c r="O429" s="355"/>
      <c r="P429" s="353"/>
      <c r="Q429" s="353"/>
      <c r="R429" s="350" t="e">
        <f t="shared" si="29"/>
        <v>#DIV/0!</v>
      </c>
    </row>
    <row r="430" spans="1:18" s="56" customFormat="1" ht="60" x14ac:dyDescent="0.35">
      <c r="A430" s="53"/>
      <c r="B430" s="73"/>
      <c r="C430" s="73"/>
      <c r="D430" s="73"/>
      <c r="E430" s="73"/>
      <c r="F430" s="74"/>
      <c r="G430" s="308" t="s">
        <v>649</v>
      </c>
      <c r="H430" s="65"/>
      <c r="I430" s="60" t="s">
        <v>272</v>
      </c>
      <c r="J430" s="116" t="s">
        <v>0</v>
      </c>
      <c r="K430" s="121">
        <f>K431</f>
        <v>9113</v>
      </c>
      <c r="L430" s="121"/>
      <c r="M430" s="226">
        <f t="shared" ref="M430:Q433" si="34">M431</f>
        <v>14000</v>
      </c>
      <c r="N430" s="121">
        <f t="shared" si="34"/>
        <v>0</v>
      </c>
      <c r="O430" s="354">
        <f t="shared" si="34"/>
        <v>6219</v>
      </c>
      <c r="P430" s="353"/>
      <c r="Q430" s="353">
        <f t="shared" si="34"/>
        <v>4777</v>
      </c>
      <c r="R430" s="350">
        <f t="shared" si="29"/>
        <v>76.812992442514869</v>
      </c>
    </row>
    <row r="431" spans="1:18" s="56" customFormat="1" ht="46.5" x14ac:dyDescent="0.35">
      <c r="A431" s="53"/>
      <c r="B431" s="73"/>
      <c r="C431" s="73"/>
      <c r="D431" s="73"/>
      <c r="E431" s="73"/>
      <c r="F431" s="74"/>
      <c r="G431" s="304" t="s">
        <v>650</v>
      </c>
      <c r="H431" s="65"/>
      <c r="I431" s="47" t="s">
        <v>277</v>
      </c>
      <c r="J431" s="48" t="s">
        <v>0</v>
      </c>
      <c r="K431" s="49">
        <f>K432</f>
        <v>9113</v>
      </c>
      <c r="L431" s="49"/>
      <c r="M431" s="225">
        <f t="shared" si="34"/>
        <v>14000</v>
      </c>
      <c r="N431" s="49">
        <f t="shared" si="34"/>
        <v>0</v>
      </c>
      <c r="O431" s="355">
        <f t="shared" si="34"/>
        <v>6219</v>
      </c>
      <c r="P431" s="353"/>
      <c r="Q431" s="353">
        <f t="shared" si="34"/>
        <v>4777</v>
      </c>
      <c r="R431" s="350">
        <f t="shared" si="29"/>
        <v>76.812992442514869</v>
      </c>
    </row>
    <row r="432" spans="1:18" s="56" customFormat="1" ht="46.5" x14ac:dyDescent="0.35">
      <c r="A432" s="53"/>
      <c r="B432" s="407" t="s">
        <v>18</v>
      </c>
      <c r="C432" s="407"/>
      <c r="D432" s="407"/>
      <c r="E432" s="407"/>
      <c r="F432" s="408"/>
      <c r="G432" s="63" t="s">
        <v>282</v>
      </c>
      <c r="H432" s="63"/>
      <c r="I432" s="64" t="s">
        <v>281</v>
      </c>
      <c r="J432" s="48"/>
      <c r="K432" s="49">
        <f>K433</f>
        <v>9113</v>
      </c>
      <c r="L432" s="49"/>
      <c r="M432" s="225">
        <f t="shared" si="34"/>
        <v>14000</v>
      </c>
      <c r="N432" s="49">
        <f t="shared" si="34"/>
        <v>0</v>
      </c>
      <c r="O432" s="355">
        <f t="shared" si="34"/>
        <v>6219</v>
      </c>
      <c r="P432" s="353"/>
      <c r="Q432" s="353">
        <f t="shared" si="34"/>
        <v>4777</v>
      </c>
      <c r="R432" s="350">
        <f t="shared" si="29"/>
        <v>76.812992442514869</v>
      </c>
    </row>
    <row r="433" spans="1:18" s="87" customFormat="1" ht="62" x14ac:dyDescent="0.35">
      <c r="A433" s="84"/>
      <c r="B433" s="409">
        <v>200</v>
      </c>
      <c r="C433" s="409"/>
      <c r="D433" s="409"/>
      <c r="E433" s="409"/>
      <c r="F433" s="410"/>
      <c r="G433" s="111" t="s">
        <v>93</v>
      </c>
      <c r="H433" s="111"/>
      <c r="I433" s="47" t="s">
        <v>284</v>
      </c>
      <c r="J433" s="48" t="s">
        <v>0</v>
      </c>
      <c r="K433" s="49">
        <f>K434</f>
        <v>9113</v>
      </c>
      <c r="L433" s="49"/>
      <c r="M433" s="225">
        <f t="shared" si="34"/>
        <v>14000</v>
      </c>
      <c r="N433" s="49">
        <f t="shared" si="34"/>
        <v>0</v>
      </c>
      <c r="O433" s="355">
        <f t="shared" si="34"/>
        <v>6219</v>
      </c>
      <c r="P433" s="353"/>
      <c r="Q433" s="353">
        <f t="shared" si="34"/>
        <v>4777</v>
      </c>
      <c r="R433" s="350">
        <f t="shared" si="29"/>
        <v>76.812992442514869</v>
      </c>
    </row>
    <row r="434" spans="1:18" s="87" customFormat="1" ht="31" x14ac:dyDescent="0.35">
      <c r="A434" s="84"/>
      <c r="B434" s="88"/>
      <c r="C434" s="88"/>
      <c r="D434" s="88"/>
      <c r="E434" s="88"/>
      <c r="F434" s="89"/>
      <c r="G434" s="51" t="s">
        <v>5</v>
      </c>
      <c r="H434" s="133"/>
      <c r="I434" s="131" t="s">
        <v>0</v>
      </c>
      <c r="J434" s="134">
        <v>300</v>
      </c>
      <c r="K434" s="135">
        <v>9113</v>
      </c>
      <c r="L434" s="135"/>
      <c r="M434" s="228">
        <v>14000</v>
      </c>
      <c r="N434" s="49"/>
      <c r="O434" s="355">
        <v>6219</v>
      </c>
      <c r="P434" s="353"/>
      <c r="Q434" s="353">
        <v>4777</v>
      </c>
      <c r="R434" s="350">
        <f t="shared" si="29"/>
        <v>76.812992442514869</v>
      </c>
    </row>
    <row r="435" spans="1:18" x14ac:dyDescent="0.35">
      <c r="A435" s="4"/>
      <c r="B435" s="17"/>
      <c r="C435" s="17"/>
      <c r="D435" s="17"/>
      <c r="E435" s="17"/>
      <c r="F435" s="18"/>
      <c r="G435" s="108" t="s">
        <v>8</v>
      </c>
      <c r="H435" s="111"/>
      <c r="I435" s="60" t="s">
        <v>293</v>
      </c>
      <c r="J435" s="112"/>
      <c r="K435" s="110">
        <f>K438</f>
        <v>7194292</v>
      </c>
      <c r="L435" s="113"/>
      <c r="M435" s="222">
        <f>M438</f>
        <v>6686000</v>
      </c>
      <c r="N435" s="110">
        <f>N438</f>
        <v>0</v>
      </c>
      <c r="O435" s="354">
        <f>O438+O436</f>
        <v>5627871</v>
      </c>
      <c r="P435" s="352"/>
      <c r="Q435" s="352">
        <f>Q438+Q436</f>
        <v>5627871</v>
      </c>
      <c r="R435" s="350">
        <f t="shared" si="29"/>
        <v>100</v>
      </c>
    </row>
    <row r="436" spans="1:18" ht="31" x14ac:dyDescent="0.35">
      <c r="A436" s="4"/>
      <c r="B436" s="335"/>
      <c r="C436" s="335"/>
      <c r="D436" s="335"/>
      <c r="E436" s="335"/>
      <c r="F436" s="336"/>
      <c r="G436" s="51" t="s">
        <v>622</v>
      </c>
      <c r="H436" s="111"/>
      <c r="I436" s="3" t="s">
        <v>723</v>
      </c>
      <c r="J436" s="112"/>
      <c r="K436" s="110"/>
      <c r="L436" s="113"/>
      <c r="M436" s="222"/>
      <c r="N436" s="110"/>
      <c r="O436" s="355">
        <f>O437</f>
        <v>26040</v>
      </c>
      <c r="P436" s="353"/>
      <c r="Q436" s="353">
        <f>Q437</f>
        <v>26040</v>
      </c>
      <c r="R436" s="350">
        <f t="shared" si="29"/>
        <v>100</v>
      </c>
    </row>
    <row r="437" spans="1:18" ht="46.5" x14ac:dyDescent="0.35">
      <c r="A437" s="4"/>
      <c r="B437" s="335"/>
      <c r="C437" s="335"/>
      <c r="D437" s="335"/>
      <c r="E437" s="335"/>
      <c r="F437" s="336"/>
      <c r="G437" s="51" t="s">
        <v>4</v>
      </c>
      <c r="H437" s="48"/>
      <c r="I437" s="60"/>
      <c r="J437" s="48">
        <v>600</v>
      </c>
      <c r="K437" s="110"/>
      <c r="L437" s="113"/>
      <c r="M437" s="222"/>
      <c r="N437" s="110"/>
      <c r="O437" s="355">
        <v>26040</v>
      </c>
      <c r="P437" s="353"/>
      <c r="Q437" s="353">
        <v>26040</v>
      </c>
      <c r="R437" s="350">
        <f t="shared" si="29"/>
        <v>100</v>
      </c>
    </row>
    <row r="438" spans="1:18" s="87" customFormat="1" ht="46.5" x14ac:dyDescent="0.35">
      <c r="A438" s="84"/>
      <c r="B438" s="422" t="s">
        <v>17</v>
      </c>
      <c r="C438" s="422"/>
      <c r="D438" s="422"/>
      <c r="E438" s="422"/>
      <c r="F438" s="417"/>
      <c r="G438" s="51" t="s">
        <v>74</v>
      </c>
      <c r="H438" s="51"/>
      <c r="I438" s="47" t="s">
        <v>308</v>
      </c>
      <c r="J438" s="48" t="s">
        <v>0</v>
      </c>
      <c r="K438" s="49">
        <f>K439+K440+K442</f>
        <v>7194292</v>
      </c>
      <c r="L438" s="49"/>
      <c r="M438" s="225">
        <f>M439+M440+M442</f>
        <v>6686000</v>
      </c>
      <c r="N438" s="49">
        <f>N439+N440+N442</f>
        <v>0</v>
      </c>
      <c r="O438" s="355">
        <f>O439+O440+O442+O441</f>
        <v>5601831</v>
      </c>
      <c r="P438" s="353"/>
      <c r="Q438" s="353">
        <f>Q439+Q440+Q442+Q441</f>
        <v>5601831</v>
      </c>
      <c r="R438" s="350">
        <f t="shared" si="29"/>
        <v>100</v>
      </c>
    </row>
    <row r="439" spans="1:18" s="87" customFormat="1" ht="77.5" x14ac:dyDescent="0.35">
      <c r="A439" s="84"/>
      <c r="B439" s="90"/>
      <c r="C439" s="90"/>
      <c r="D439" s="90"/>
      <c r="E439" s="90"/>
      <c r="F439" s="91"/>
      <c r="G439" s="51" t="s">
        <v>3</v>
      </c>
      <c r="H439" s="51"/>
      <c r="I439" s="47" t="s">
        <v>75</v>
      </c>
      <c r="J439" s="48">
        <v>100</v>
      </c>
      <c r="K439" s="49">
        <v>5696705</v>
      </c>
      <c r="L439" s="49"/>
      <c r="M439" s="225">
        <v>5477600</v>
      </c>
      <c r="N439" s="49"/>
      <c r="O439" s="353">
        <v>4682400</v>
      </c>
      <c r="P439" s="353"/>
      <c r="Q439" s="353">
        <v>4682400.24</v>
      </c>
      <c r="R439" s="350">
        <f t="shared" si="29"/>
        <v>100.00000512557664</v>
      </c>
    </row>
    <row r="440" spans="1:18" s="87" customFormat="1" ht="31" x14ac:dyDescent="0.35">
      <c r="A440" s="84"/>
      <c r="B440" s="409" t="s">
        <v>16</v>
      </c>
      <c r="C440" s="409"/>
      <c r="D440" s="409"/>
      <c r="E440" s="409"/>
      <c r="F440" s="410"/>
      <c r="G440" s="51" t="s">
        <v>2</v>
      </c>
      <c r="H440" s="51"/>
      <c r="I440" s="47"/>
      <c r="J440" s="48">
        <v>200</v>
      </c>
      <c r="K440" s="49">
        <v>1496087</v>
      </c>
      <c r="L440" s="49"/>
      <c r="M440" s="225">
        <v>1206400</v>
      </c>
      <c r="N440" s="49"/>
      <c r="O440" s="353">
        <f>1641780-374248-449890-82500-1035</f>
        <v>734107</v>
      </c>
      <c r="P440" s="353"/>
      <c r="Q440" s="353">
        <v>734107</v>
      </c>
      <c r="R440" s="350">
        <f t="shared" si="29"/>
        <v>100</v>
      </c>
    </row>
    <row r="441" spans="1:18" s="87" customFormat="1" ht="31" x14ac:dyDescent="0.35">
      <c r="A441" s="84"/>
      <c r="B441" s="320"/>
      <c r="C441" s="320"/>
      <c r="D441" s="320"/>
      <c r="E441" s="320"/>
      <c r="F441" s="321"/>
      <c r="G441" s="51" t="s">
        <v>5</v>
      </c>
      <c r="H441" s="51"/>
      <c r="I441" s="47"/>
      <c r="J441" s="48">
        <v>300</v>
      </c>
      <c r="K441" s="49"/>
      <c r="L441" s="49"/>
      <c r="M441" s="225"/>
      <c r="N441" s="49"/>
      <c r="O441" s="353">
        <v>183944</v>
      </c>
      <c r="P441" s="353"/>
      <c r="Q441" s="353">
        <v>183943.76</v>
      </c>
      <c r="R441" s="350">
        <f t="shared" si="29"/>
        <v>99.999869525507762</v>
      </c>
    </row>
    <row r="442" spans="1:18" s="87" customFormat="1" x14ac:dyDescent="0.35">
      <c r="A442" s="84"/>
      <c r="B442" s="94"/>
      <c r="C442" s="94"/>
      <c r="D442" s="94"/>
      <c r="E442" s="94"/>
      <c r="F442" s="95"/>
      <c r="G442" s="51" t="s">
        <v>1</v>
      </c>
      <c r="H442" s="51"/>
      <c r="I442" s="47"/>
      <c r="J442" s="48">
        <v>800</v>
      </c>
      <c r="K442" s="49">
        <v>1500</v>
      </c>
      <c r="L442" s="49"/>
      <c r="M442" s="225">
        <v>2000</v>
      </c>
      <c r="N442" s="49"/>
      <c r="O442" s="353">
        <f>345+1035</f>
        <v>1380</v>
      </c>
      <c r="P442" s="353"/>
      <c r="Q442" s="353">
        <v>1380</v>
      </c>
      <c r="R442" s="350">
        <f t="shared" si="29"/>
        <v>100</v>
      </c>
    </row>
    <row r="443" spans="1:18" s="56" customFormat="1" ht="38.15" customHeight="1" x14ac:dyDescent="0.35">
      <c r="A443" s="53"/>
      <c r="B443" s="57"/>
      <c r="C443" s="57"/>
      <c r="D443" s="57"/>
      <c r="E443" s="57"/>
      <c r="F443" s="58"/>
      <c r="G443" s="108" t="s">
        <v>336</v>
      </c>
      <c r="H443" s="136">
        <v>807</v>
      </c>
      <c r="I443" s="112"/>
      <c r="J443" s="112"/>
      <c r="K443" s="110" t="e">
        <f>K459+K464+#REF!+K500+K514+#REF!+K533+K579+K608+K613+K642+K662+K444+K657+K597+K449+K556</f>
        <v>#REF!</v>
      </c>
      <c r="L443" s="110" t="e">
        <f>L459+L464+#REF!+L500+L514+#REF!+L533+L579+L608+L613+L642+L662+L444+L657+L597+L449</f>
        <v>#REF!</v>
      </c>
      <c r="M443" s="222" t="e">
        <f>M459+M464+#REF!+M500+M514+#REF!+M533+M579+M608+M613+M642+M662+M444+M657+M597+M449</f>
        <v>#REF!</v>
      </c>
      <c r="N443" s="110" t="e">
        <f>N459+N464+#REF!+N500+N514+#REF!+N533+N579+N608+N613+N642+N662+N444+N657+N597+N449+N556</f>
        <v>#REF!</v>
      </c>
      <c r="O443" s="354">
        <f>O459+O464+O500+O514+O533+O579+O608+O613+O642+O662+O444+O657+O597+O449+O556+O490+O540+O495+O547+O482</f>
        <v>184312248</v>
      </c>
      <c r="P443" s="352"/>
      <c r="Q443" s="352">
        <f>Q459+Q464+Q500+Q514+Q533+Q579+Q608+Q613+Q642+Q662+Q444+Q657+Q597+Q449+Q556+Q490+Q540+Q495+Q547+Q482</f>
        <v>168861336.24000001</v>
      </c>
      <c r="R443" s="350">
        <f t="shared" si="29"/>
        <v>91.61699131356697</v>
      </c>
    </row>
    <row r="444" spans="1:18" ht="45" x14ac:dyDescent="0.35">
      <c r="A444" s="4"/>
      <c r="B444" s="384" t="s">
        <v>15</v>
      </c>
      <c r="C444" s="384"/>
      <c r="D444" s="384"/>
      <c r="E444" s="384"/>
      <c r="F444" s="385"/>
      <c r="G444" s="2" t="s">
        <v>647</v>
      </c>
      <c r="H444" s="115"/>
      <c r="I444" s="60" t="s">
        <v>191</v>
      </c>
      <c r="J444" s="48" t="s">
        <v>0</v>
      </c>
      <c r="K444" s="121">
        <f t="shared" ref="K444:Q447" si="35">K445</f>
        <v>173000</v>
      </c>
      <c r="L444" s="49">
        <f t="shared" si="35"/>
        <v>0</v>
      </c>
      <c r="M444" s="226">
        <f t="shared" si="35"/>
        <v>173000</v>
      </c>
      <c r="N444" s="121">
        <f t="shared" si="35"/>
        <v>0</v>
      </c>
      <c r="O444" s="354">
        <f t="shared" si="35"/>
        <v>273000</v>
      </c>
      <c r="P444" s="352"/>
      <c r="Q444" s="352">
        <f t="shared" si="35"/>
        <v>271281.5</v>
      </c>
      <c r="R444" s="350">
        <f t="shared" si="29"/>
        <v>99.370512820512829</v>
      </c>
    </row>
    <row r="445" spans="1:18" ht="62" x14ac:dyDescent="0.35">
      <c r="A445" s="4"/>
      <c r="B445" s="383">
        <v>200</v>
      </c>
      <c r="C445" s="383"/>
      <c r="D445" s="383"/>
      <c r="E445" s="383"/>
      <c r="F445" s="375"/>
      <c r="G445" s="14" t="s">
        <v>651</v>
      </c>
      <c r="H445" s="115"/>
      <c r="I445" s="47" t="s">
        <v>208</v>
      </c>
      <c r="J445" s="48" t="s">
        <v>0</v>
      </c>
      <c r="K445" s="49">
        <f t="shared" si="35"/>
        <v>173000</v>
      </c>
      <c r="L445" s="49">
        <f t="shared" si="35"/>
        <v>0</v>
      </c>
      <c r="M445" s="225">
        <f t="shared" si="35"/>
        <v>173000</v>
      </c>
      <c r="N445" s="49">
        <f t="shared" si="35"/>
        <v>0</v>
      </c>
      <c r="O445" s="355">
        <f t="shared" si="35"/>
        <v>273000</v>
      </c>
      <c r="P445" s="353"/>
      <c r="Q445" s="353">
        <f t="shared" si="35"/>
        <v>271281.5</v>
      </c>
      <c r="R445" s="350">
        <f t="shared" si="29"/>
        <v>99.370512820512829</v>
      </c>
    </row>
    <row r="446" spans="1:18" ht="31" x14ac:dyDescent="0.35">
      <c r="A446" s="4"/>
      <c r="B446" s="399" t="s">
        <v>14</v>
      </c>
      <c r="C446" s="399"/>
      <c r="D446" s="399"/>
      <c r="E446" s="399"/>
      <c r="F446" s="400"/>
      <c r="G446" s="63" t="s">
        <v>353</v>
      </c>
      <c r="H446" s="63"/>
      <c r="I446" s="64" t="s">
        <v>209</v>
      </c>
      <c r="J446" s="48"/>
      <c r="K446" s="49">
        <f t="shared" si="35"/>
        <v>173000</v>
      </c>
      <c r="L446" s="49">
        <f t="shared" si="35"/>
        <v>0</v>
      </c>
      <c r="M446" s="225">
        <f t="shared" si="35"/>
        <v>173000</v>
      </c>
      <c r="N446" s="49">
        <f t="shared" si="35"/>
        <v>0</v>
      </c>
      <c r="O446" s="359">
        <f t="shared" si="35"/>
        <v>273000</v>
      </c>
      <c r="P446" s="358"/>
      <c r="Q446" s="358">
        <f t="shared" si="35"/>
        <v>271281.5</v>
      </c>
      <c r="R446" s="350">
        <f t="shared" si="29"/>
        <v>99.370512820512829</v>
      </c>
    </row>
    <row r="447" spans="1:18" ht="62" x14ac:dyDescent="0.35">
      <c r="A447" s="4"/>
      <c r="B447" s="401" t="s">
        <v>13</v>
      </c>
      <c r="C447" s="401"/>
      <c r="D447" s="401"/>
      <c r="E447" s="401"/>
      <c r="F447" s="402"/>
      <c r="G447" s="309" t="s">
        <v>652</v>
      </c>
      <c r="H447" s="66"/>
      <c r="I447" s="47" t="s">
        <v>210</v>
      </c>
      <c r="J447" s="48"/>
      <c r="K447" s="49">
        <f t="shared" si="35"/>
        <v>173000</v>
      </c>
      <c r="L447" s="49">
        <f t="shared" si="35"/>
        <v>0</v>
      </c>
      <c r="M447" s="225">
        <f t="shared" si="35"/>
        <v>173000</v>
      </c>
      <c r="N447" s="49">
        <f t="shared" si="35"/>
        <v>0</v>
      </c>
      <c r="O447" s="355">
        <f t="shared" si="35"/>
        <v>273000</v>
      </c>
      <c r="P447" s="353"/>
      <c r="Q447" s="353">
        <f t="shared" si="35"/>
        <v>271281.5</v>
      </c>
      <c r="R447" s="350">
        <f t="shared" si="29"/>
        <v>99.370512820512829</v>
      </c>
    </row>
    <row r="448" spans="1:18" ht="46.5" x14ac:dyDescent="0.35">
      <c r="A448" s="4"/>
      <c r="B448" s="12"/>
      <c r="C448" s="12"/>
      <c r="D448" s="12"/>
      <c r="E448" s="12"/>
      <c r="F448" s="13"/>
      <c r="G448" s="51" t="s">
        <v>4</v>
      </c>
      <c r="H448" s="51"/>
      <c r="I448" s="79"/>
      <c r="J448" s="48">
        <v>600</v>
      </c>
      <c r="K448" s="49">
        <v>173000</v>
      </c>
      <c r="L448" s="49"/>
      <c r="M448" s="225">
        <f>L448+K448</f>
        <v>173000</v>
      </c>
      <c r="N448" s="49"/>
      <c r="O448" s="355">
        <v>273000</v>
      </c>
      <c r="P448" s="353"/>
      <c r="Q448" s="353">
        <v>271281.5</v>
      </c>
      <c r="R448" s="350">
        <f t="shared" si="29"/>
        <v>99.370512820512829</v>
      </c>
    </row>
    <row r="449" spans="1:18" ht="70" customHeight="1" x14ac:dyDescent="0.35">
      <c r="A449" s="4"/>
      <c r="B449" s="12"/>
      <c r="C449" s="12"/>
      <c r="D449" s="12"/>
      <c r="E449" s="12"/>
      <c r="F449" s="13"/>
      <c r="G449" s="310" t="s">
        <v>653</v>
      </c>
      <c r="H449" s="51"/>
      <c r="I449" s="60" t="s">
        <v>423</v>
      </c>
      <c r="J449" s="48"/>
      <c r="K449" s="121">
        <f t="shared" ref="K449:Q452" si="36">K450</f>
        <v>637500</v>
      </c>
      <c r="L449" s="121">
        <f t="shared" si="36"/>
        <v>0</v>
      </c>
      <c r="M449" s="226">
        <f t="shared" si="36"/>
        <v>637500</v>
      </c>
      <c r="N449" s="121">
        <f t="shared" si="36"/>
        <v>0</v>
      </c>
      <c r="O449" s="354">
        <f t="shared" si="36"/>
        <v>1472950</v>
      </c>
      <c r="P449" s="353"/>
      <c r="Q449" s="352">
        <f t="shared" si="36"/>
        <v>0</v>
      </c>
      <c r="R449" s="350">
        <f t="shared" si="29"/>
        <v>0</v>
      </c>
    </row>
    <row r="450" spans="1:18" ht="81" customHeight="1" x14ac:dyDescent="0.35">
      <c r="A450" s="4"/>
      <c r="B450" s="12"/>
      <c r="C450" s="12"/>
      <c r="D450" s="12"/>
      <c r="E450" s="12"/>
      <c r="F450" s="13"/>
      <c r="G450" s="311" t="s">
        <v>654</v>
      </c>
      <c r="H450" s="51"/>
      <c r="I450" s="47" t="s">
        <v>424</v>
      </c>
      <c r="J450" s="48"/>
      <c r="K450" s="49">
        <f>K451+K454</f>
        <v>637500</v>
      </c>
      <c r="L450" s="49">
        <f>L451+L454</f>
        <v>0</v>
      </c>
      <c r="M450" s="225">
        <f>M451+M454</f>
        <v>637500</v>
      </c>
      <c r="N450" s="49">
        <f>N451+N454</f>
        <v>0</v>
      </c>
      <c r="O450" s="355">
        <f>O451+O454</f>
        <v>1472950</v>
      </c>
      <c r="P450" s="353"/>
      <c r="Q450" s="353">
        <f>Q451+Q454</f>
        <v>0</v>
      </c>
      <c r="R450" s="350">
        <f t="shared" ref="R450:R508" si="37">Q450/O450*100</f>
        <v>0</v>
      </c>
    </row>
    <row r="451" spans="1:18" ht="93" x14ac:dyDescent="0.35">
      <c r="A451" s="4"/>
      <c r="B451" s="12"/>
      <c r="C451" s="12"/>
      <c r="D451" s="12"/>
      <c r="E451" s="12"/>
      <c r="F451" s="13"/>
      <c r="G451" s="141" t="s">
        <v>590</v>
      </c>
      <c r="H451" s="51"/>
      <c r="I451" s="64" t="s">
        <v>425</v>
      </c>
      <c r="J451" s="48"/>
      <c r="K451" s="168">
        <f t="shared" si="36"/>
        <v>0</v>
      </c>
      <c r="L451" s="168">
        <f t="shared" si="36"/>
        <v>0</v>
      </c>
      <c r="M451" s="229">
        <f t="shared" si="36"/>
        <v>0</v>
      </c>
      <c r="N451" s="168">
        <f t="shared" si="36"/>
        <v>0</v>
      </c>
      <c r="O451" s="359">
        <f t="shared" si="36"/>
        <v>986450</v>
      </c>
      <c r="P451" s="358"/>
      <c r="Q451" s="358">
        <f t="shared" si="36"/>
        <v>0</v>
      </c>
      <c r="R451" s="350">
        <f t="shared" si="37"/>
        <v>0</v>
      </c>
    </row>
    <row r="452" spans="1:18" ht="108.5" x14ac:dyDescent="0.35">
      <c r="A452" s="4"/>
      <c r="B452" s="12"/>
      <c r="C452" s="12"/>
      <c r="D452" s="12"/>
      <c r="E452" s="12"/>
      <c r="F452" s="13"/>
      <c r="G452" s="311" t="s">
        <v>655</v>
      </c>
      <c r="H452" s="51"/>
      <c r="I452" s="47" t="s">
        <v>534</v>
      </c>
      <c r="J452" s="48"/>
      <c r="K452" s="49">
        <f t="shared" si="36"/>
        <v>0</v>
      </c>
      <c r="L452" s="49">
        <f t="shared" si="36"/>
        <v>0</v>
      </c>
      <c r="M452" s="225">
        <f t="shared" si="36"/>
        <v>0</v>
      </c>
      <c r="N452" s="49">
        <f t="shared" si="36"/>
        <v>0</v>
      </c>
      <c r="O452" s="355">
        <f t="shared" si="36"/>
        <v>986450</v>
      </c>
      <c r="P452" s="353"/>
      <c r="Q452" s="353">
        <f t="shared" si="36"/>
        <v>0</v>
      </c>
      <c r="R452" s="350">
        <f t="shared" si="37"/>
        <v>0</v>
      </c>
    </row>
    <row r="453" spans="1:18" ht="31" x14ac:dyDescent="0.35">
      <c r="A453" s="4"/>
      <c r="B453" s="12"/>
      <c r="C453" s="12"/>
      <c r="D453" s="12"/>
      <c r="E453" s="12"/>
      <c r="F453" s="13"/>
      <c r="G453" s="111" t="s">
        <v>2</v>
      </c>
      <c r="H453" s="51"/>
      <c r="I453" s="79"/>
      <c r="J453" s="48">
        <v>200</v>
      </c>
      <c r="K453" s="49"/>
      <c r="L453" s="49"/>
      <c r="M453" s="225">
        <f>K453+L453</f>
        <v>0</v>
      </c>
      <c r="N453" s="49"/>
      <c r="O453" s="355">
        <f>1090000-103550</f>
        <v>986450</v>
      </c>
      <c r="P453" s="353"/>
      <c r="Q453" s="353">
        <v>0</v>
      </c>
      <c r="R453" s="350">
        <f t="shared" si="37"/>
        <v>0</v>
      </c>
    </row>
    <row r="454" spans="1:18" ht="46.5" x14ac:dyDescent="0.35">
      <c r="A454" s="4"/>
      <c r="B454" s="12"/>
      <c r="C454" s="12"/>
      <c r="D454" s="12"/>
      <c r="E454" s="12"/>
      <c r="F454" s="13"/>
      <c r="G454" s="114" t="s">
        <v>469</v>
      </c>
      <c r="H454" s="191"/>
      <c r="I454" s="64" t="s">
        <v>470</v>
      </c>
      <c r="J454" s="139"/>
      <c r="K454" s="168">
        <f>K455+K457</f>
        <v>637500</v>
      </c>
      <c r="L454" s="168">
        <f>L455+L457</f>
        <v>0</v>
      </c>
      <c r="M454" s="229">
        <f>M455+M457</f>
        <v>637500</v>
      </c>
      <c r="N454" s="168">
        <f>N455+N457</f>
        <v>0</v>
      </c>
      <c r="O454" s="355">
        <f>O455+O457</f>
        <v>486500</v>
      </c>
      <c r="P454" s="353"/>
      <c r="Q454" s="353">
        <f>Q455+Q457</f>
        <v>0</v>
      </c>
      <c r="R454" s="350">
        <f t="shared" si="37"/>
        <v>0</v>
      </c>
    </row>
    <row r="455" spans="1:18" ht="46.5" x14ac:dyDescent="0.35">
      <c r="A455" s="4"/>
      <c r="B455" s="12"/>
      <c r="C455" s="12"/>
      <c r="D455" s="12"/>
      <c r="E455" s="12"/>
      <c r="F455" s="13"/>
      <c r="G455" s="111" t="s">
        <v>536</v>
      </c>
      <c r="H455" s="191"/>
      <c r="I455" s="47" t="s">
        <v>535</v>
      </c>
      <c r="J455" s="139"/>
      <c r="K455" s="49">
        <f>K456</f>
        <v>637500</v>
      </c>
      <c r="L455" s="49">
        <f>L456</f>
        <v>0</v>
      </c>
      <c r="M455" s="225">
        <f>M456</f>
        <v>637500</v>
      </c>
      <c r="N455" s="49">
        <f>N456</f>
        <v>0</v>
      </c>
      <c r="O455" s="355">
        <f>O456</f>
        <v>486500</v>
      </c>
      <c r="P455" s="353"/>
      <c r="Q455" s="353">
        <f>Q456</f>
        <v>0</v>
      </c>
      <c r="R455" s="350">
        <f t="shared" si="37"/>
        <v>0</v>
      </c>
    </row>
    <row r="456" spans="1:18" ht="31" x14ac:dyDescent="0.35">
      <c r="A456" s="4"/>
      <c r="B456" s="12"/>
      <c r="C456" s="12"/>
      <c r="D456" s="12"/>
      <c r="E456" s="12"/>
      <c r="F456" s="13"/>
      <c r="G456" s="111" t="s">
        <v>2</v>
      </c>
      <c r="H456" s="191"/>
      <c r="I456" s="138"/>
      <c r="J456" s="139">
        <v>200</v>
      </c>
      <c r="K456" s="49">
        <v>637500</v>
      </c>
      <c r="L456" s="49">
        <v>0</v>
      </c>
      <c r="M456" s="225">
        <f>K456+L456</f>
        <v>637500</v>
      </c>
      <c r="N456" s="49"/>
      <c r="O456" s="355">
        <f>200000+286500</f>
        <v>486500</v>
      </c>
      <c r="P456" s="353"/>
      <c r="Q456" s="353">
        <v>0</v>
      </c>
      <c r="R456" s="350">
        <f t="shared" si="37"/>
        <v>0</v>
      </c>
    </row>
    <row r="457" spans="1:18" ht="66" hidden="1" customHeight="1" x14ac:dyDescent="0.35">
      <c r="A457" s="4"/>
      <c r="B457" s="12"/>
      <c r="C457" s="12"/>
      <c r="D457" s="12"/>
      <c r="E457" s="12"/>
      <c r="F457" s="13"/>
      <c r="G457" s="111" t="s">
        <v>471</v>
      </c>
      <c r="H457" s="191"/>
      <c r="I457" s="138" t="s">
        <v>472</v>
      </c>
      <c r="J457" s="139"/>
      <c r="K457" s="49">
        <f>K458</f>
        <v>0</v>
      </c>
      <c r="L457" s="49">
        <f>L458</f>
        <v>0</v>
      </c>
      <c r="M457" s="225">
        <f>M458</f>
        <v>0</v>
      </c>
      <c r="N457" s="49"/>
      <c r="O457" s="355"/>
      <c r="P457" s="353"/>
      <c r="Q457" s="353"/>
      <c r="R457" s="350" t="e">
        <f t="shared" si="37"/>
        <v>#DIV/0!</v>
      </c>
    </row>
    <row r="458" spans="1:18" ht="35.15" hidden="1" customHeight="1" x14ac:dyDescent="0.35">
      <c r="A458" s="4"/>
      <c r="B458" s="12"/>
      <c r="C458" s="12"/>
      <c r="D458" s="12"/>
      <c r="E458" s="12"/>
      <c r="F458" s="13"/>
      <c r="G458" s="111" t="s">
        <v>2</v>
      </c>
      <c r="H458" s="191"/>
      <c r="I458" s="138"/>
      <c r="J458" s="139">
        <v>200</v>
      </c>
      <c r="K458" s="49"/>
      <c r="L458" s="49"/>
      <c r="M458" s="225">
        <f>K458+L458</f>
        <v>0</v>
      </c>
      <c r="N458" s="49"/>
      <c r="O458" s="355"/>
      <c r="P458" s="353"/>
      <c r="Q458" s="353"/>
      <c r="R458" s="350" t="e">
        <f t="shared" si="37"/>
        <v>#DIV/0!</v>
      </c>
    </row>
    <row r="459" spans="1:18" ht="30" x14ac:dyDescent="0.35">
      <c r="A459" s="4"/>
      <c r="B459" s="384" t="s">
        <v>12</v>
      </c>
      <c r="C459" s="384"/>
      <c r="D459" s="384"/>
      <c r="E459" s="384"/>
      <c r="F459" s="385"/>
      <c r="G459" s="303" t="s">
        <v>625</v>
      </c>
      <c r="H459" s="108"/>
      <c r="I459" s="60" t="s">
        <v>218</v>
      </c>
      <c r="J459" s="112"/>
      <c r="K459" s="113">
        <f>K460</f>
        <v>28500</v>
      </c>
      <c r="L459" s="113"/>
      <c r="M459" s="223">
        <f t="shared" ref="M459:Q462" si="38">M460</f>
        <v>28500</v>
      </c>
      <c r="N459" s="113">
        <f t="shared" si="38"/>
        <v>0</v>
      </c>
      <c r="O459" s="354">
        <f t="shared" si="38"/>
        <v>30000</v>
      </c>
      <c r="P459" s="352"/>
      <c r="Q459" s="352">
        <f t="shared" si="38"/>
        <v>29988</v>
      </c>
      <c r="R459" s="350">
        <f t="shared" si="37"/>
        <v>99.960000000000008</v>
      </c>
    </row>
    <row r="460" spans="1:18" ht="46.5" x14ac:dyDescent="0.35">
      <c r="A460" s="4"/>
      <c r="B460" s="384">
        <v>200</v>
      </c>
      <c r="C460" s="384"/>
      <c r="D460" s="384"/>
      <c r="E460" s="384"/>
      <c r="F460" s="385"/>
      <c r="G460" s="304" t="s">
        <v>626</v>
      </c>
      <c r="H460" s="111"/>
      <c r="I460" s="47" t="s">
        <v>219</v>
      </c>
      <c r="J460" s="112"/>
      <c r="K460" s="113">
        <f>K461</f>
        <v>28500</v>
      </c>
      <c r="L460" s="113"/>
      <c r="M460" s="223">
        <f t="shared" si="38"/>
        <v>28500</v>
      </c>
      <c r="N460" s="113">
        <f t="shared" si="38"/>
        <v>0</v>
      </c>
      <c r="O460" s="355">
        <f t="shared" si="38"/>
        <v>30000</v>
      </c>
      <c r="P460" s="353"/>
      <c r="Q460" s="353">
        <f t="shared" si="38"/>
        <v>29988</v>
      </c>
      <c r="R460" s="350">
        <f t="shared" si="37"/>
        <v>99.960000000000008</v>
      </c>
    </row>
    <row r="461" spans="1:18" ht="46.5" x14ac:dyDescent="0.35">
      <c r="A461" s="4"/>
      <c r="B461" s="373" t="s">
        <v>11</v>
      </c>
      <c r="C461" s="373"/>
      <c r="D461" s="373"/>
      <c r="E461" s="373"/>
      <c r="F461" s="374"/>
      <c r="G461" s="128" t="s">
        <v>221</v>
      </c>
      <c r="H461" s="128"/>
      <c r="I461" s="64" t="s">
        <v>220</v>
      </c>
      <c r="J461" s="126"/>
      <c r="K461" s="127">
        <f>K462</f>
        <v>28500</v>
      </c>
      <c r="L461" s="127"/>
      <c r="M461" s="227">
        <f t="shared" si="38"/>
        <v>28500</v>
      </c>
      <c r="N461" s="113">
        <f t="shared" si="38"/>
        <v>0</v>
      </c>
      <c r="O461" s="359">
        <f t="shared" si="38"/>
        <v>30000</v>
      </c>
      <c r="P461" s="358"/>
      <c r="Q461" s="358">
        <f t="shared" si="38"/>
        <v>29988</v>
      </c>
      <c r="R461" s="350">
        <f t="shared" si="37"/>
        <v>99.960000000000008</v>
      </c>
    </row>
    <row r="462" spans="1:18" ht="46.5" x14ac:dyDescent="0.35">
      <c r="A462" s="4"/>
      <c r="B462" s="17"/>
      <c r="C462" s="17"/>
      <c r="D462" s="17"/>
      <c r="E462" s="17"/>
      <c r="F462" s="18"/>
      <c r="G462" s="305" t="s">
        <v>627</v>
      </c>
      <c r="H462" s="125"/>
      <c r="I462" s="47" t="s">
        <v>222</v>
      </c>
      <c r="J462" s="126"/>
      <c r="K462" s="127">
        <f>K463</f>
        <v>28500</v>
      </c>
      <c r="L462" s="127"/>
      <c r="M462" s="227">
        <f t="shared" si="38"/>
        <v>28500</v>
      </c>
      <c r="N462" s="113">
        <f t="shared" si="38"/>
        <v>0</v>
      </c>
      <c r="O462" s="355">
        <f t="shared" si="38"/>
        <v>30000</v>
      </c>
      <c r="P462" s="353"/>
      <c r="Q462" s="353">
        <f t="shared" si="38"/>
        <v>29988</v>
      </c>
      <c r="R462" s="350">
        <f t="shared" si="37"/>
        <v>99.960000000000008</v>
      </c>
    </row>
    <row r="463" spans="1:18" ht="31" x14ac:dyDescent="0.35">
      <c r="A463" s="4"/>
      <c r="B463" s="17"/>
      <c r="C463" s="17"/>
      <c r="D463" s="17"/>
      <c r="E463" s="17"/>
      <c r="F463" s="18"/>
      <c r="G463" s="111" t="s">
        <v>2</v>
      </c>
      <c r="H463" s="111"/>
      <c r="I463" s="112"/>
      <c r="J463" s="112">
        <v>200</v>
      </c>
      <c r="K463" s="113">
        <v>28500</v>
      </c>
      <c r="L463" s="113"/>
      <c r="M463" s="223">
        <v>28500</v>
      </c>
      <c r="N463" s="113"/>
      <c r="O463" s="355">
        <v>30000</v>
      </c>
      <c r="P463" s="353"/>
      <c r="Q463" s="353">
        <v>29988</v>
      </c>
      <c r="R463" s="350">
        <f t="shared" si="37"/>
        <v>99.960000000000008</v>
      </c>
    </row>
    <row r="464" spans="1:18" ht="75" x14ac:dyDescent="0.35">
      <c r="A464" s="4"/>
      <c r="B464" s="17"/>
      <c r="C464" s="17"/>
      <c r="D464" s="17"/>
      <c r="E464" s="17"/>
      <c r="F464" s="18"/>
      <c r="G464" s="306" t="s">
        <v>628</v>
      </c>
      <c r="H464" s="59"/>
      <c r="I464" s="60" t="s">
        <v>224</v>
      </c>
      <c r="J464" s="61" t="s">
        <v>0</v>
      </c>
      <c r="K464" s="62">
        <f>K465+K470+K474+K478</f>
        <v>114000</v>
      </c>
      <c r="L464" s="62"/>
      <c r="M464" s="224">
        <f>M465+M470</f>
        <v>56000</v>
      </c>
      <c r="N464" s="121">
        <f>N465+N470+N474+N478</f>
        <v>0</v>
      </c>
      <c r="O464" s="354">
        <f>O465+O470+O474+O478</f>
        <v>111000</v>
      </c>
      <c r="P464" s="352"/>
      <c r="Q464" s="352">
        <f>Q465+Q470+Q474+Q478</f>
        <v>102000</v>
      </c>
      <c r="R464" s="350">
        <f t="shared" si="37"/>
        <v>91.891891891891902</v>
      </c>
    </row>
    <row r="465" spans="1:18" ht="60" x14ac:dyDescent="0.35">
      <c r="A465" s="4"/>
      <c r="B465" s="17"/>
      <c r="C465" s="17"/>
      <c r="D465" s="17"/>
      <c r="E465" s="17"/>
      <c r="F465" s="18"/>
      <c r="G465" s="2" t="s">
        <v>656</v>
      </c>
      <c r="H465" s="115"/>
      <c r="I465" s="47" t="s">
        <v>225</v>
      </c>
      <c r="J465" s="48" t="s">
        <v>0</v>
      </c>
      <c r="K465" s="49">
        <f>K466</f>
        <v>75000</v>
      </c>
      <c r="L465" s="49"/>
      <c r="M465" s="225">
        <f t="shared" ref="M465:Q466" si="39">M466</f>
        <v>46000</v>
      </c>
      <c r="N465" s="49">
        <f t="shared" si="39"/>
        <v>0</v>
      </c>
      <c r="O465" s="355">
        <f t="shared" si="39"/>
        <v>20000</v>
      </c>
      <c r="P465" s="353"/>
      <c r="Q465" s="353">
        <f t="shared" si="39"/>
        <v>20000</v>
      </c>
      <c r="R465" s="350">
        <f t="shared" si="37"/>
        <v>100</v>
      </c>
    </row>
    <row r="466" spans="1:18" ht="77.5" x14ac:dyDescent="0.35">
      <c r="A466" s="4"/>
      <c r="B466" s="17"/>
      <c r="C466" s="17"/>
      <c r="D466" s="17"/>
      <c r="E466" s="17"/>
      <c r="F466" s="18"/>
      <c r="G466" s="63" t="s">
        <v>591</v>
      </c>
      <c r="H466" s="63"/>
      <c r="I466" s="64" t="s">
        <v>226</v>
      </c>
      <c r="J466" s="48"/>
      <c r="K466" s="49">
        <f>K467</f>
        <v>75000</v>
      </c>
      <c r="L466" s="49"/>
      <c r="M466" s="225">
        <f t="shared" si="39"/>
        <v>46000</v>
      </c>
      <c r="N466" s="49">
        <f t="shared" si="39"/>
        <v>0</v>
      </c>
      <c r="O466" s="359">
        <f t="shared" si="39"/>
        <v>20000</v>
      </c>
      <c r="P466" s="358"/>
      <c r="Q466" s="358">
        <f t="shared" si="39"/>
        <v>20000</v>
      </c>
      <c r="R466" s="350">
        <f t="shared" si="37"/>
        <v>100</v>
      </c>
    </row>
    <row r="467" spans="1:18" ht="46.5" x14ac:dyDescent="0.35">
      <c r="A467" s="4"/>
      <c r="B467" s="17"/>
      <c r="C467" s="17"/>
      <c r="D467" s="17"/>
      <c r="E467" s="17"/>
      <c r="F467" s="18"/>
      <c r="G467" s="51" t="s">
        <v>340</v>
      </c>
      <c r="H467" s="51"/>
      <c r="I467" s="47" t="s">
        <v>228</v>
      </c>
      <c r="J467" s="48"/>
      <c r="K467" s="49">
        <f>K468+K469</f>
        <v>75000</v>
      </c>
      <c r="L467" s="49"/>
      <c r="M467" s="225">
        <f>M468+M469</f>
        <v>46000</v>
      </c>
      <c r="N467" s="49">
        <f>N468+N469</f>
        <v>0</v>
      </c>
      <c r="O467" s="355">
        <f>O468+O469</f>
        <v>20000</v>
      </c>
      <c r="P467" s="353"/>
      <c r="Q467" s="353">
        <f>Q468+Q469</f>
        <v>20000</v>
      </c>
      <c r="R467" s="350">
        <f t="shared" si="37"/>
        <v>100</v>
      </c>
    </row>
    <row r="468" spans="1:18" ht="31" x14ac:dyDescent="0.35">
      <c r="A468" s="4"/>
      <c r="B468" s="17"/>
      <c r="C468" s="17"/>
      <c r="D468" s="17"/>
      <c r="E468" s="17"/>
      <c r="F468" s="18"/>
      <c r="G468" s="51" t="s">
        <v>2</v>
      </c>
      <c r="H468" s="51"/>
      <c r="I468" s="79"/>
      <c r="J468" s="48">
        <v>200</v>
      </c>
      <c r="K468" s="49">
        <v>75000</v>
      </c>
      <c r="L468" s="49"/>
      <c r="M468" s="225">
        <v>46000</v>
      </c>
      <c r="N468" s="49"/>
      <c r="O468" s="355">
        <f>10000+10000</f>
        <v>20000</v>
      </c>
      <c r="P468" s="353"/>
      <c r="Q468" s="353">
        <v>20000</v>
      </c>
      <c r="R468" s="350">
        <f t="shared" si="37"/>
        <v>100</v>
      </c>
    </row>
    <row r="469" spans="1:18" ht="31" hidden="1" x14ac:dyDescent="0.35">
      <c r="A469" s="4"/>
      <c r="B469" s="19"/>
      <c r="C469" s="19"/>
      <c r="D469" s="19"/>
      <c r="E469" s="19"/>
      <c r="F469" s="20"/>
      <c r="G469" s="51" t="s">
        <v>4</v>
      </c>
      <c r="H469" s="51"/>
      <c r="I469" s="79"/>
      <c r="J469" s="48">
        <v>600</v>
      </c>
      <c r="K469" s="49">
        <v>0</v>
      </c>
      <c r="L469" s="49"/>
      <c r="M469" s="225">
        <v>0</v>
      </c>
      <c r="N469" s="49"/>
      <c r="O469" s="355"/>
      <c r="P469" s="353"/>
      <c r="Q469" s="353"/>
      <c r="R469" s="350" t="e">
        <f t="shared" si="37"/>
        <v>#DIV/0!</v>
      </c>
    </row>
    <row r="470" spans="1:18" ht="62" x14ac:dyDescent="0.35">
      <c r="A470" s="4"/>
      <c r="B470" s="19"/>
      <c r="C470" s="19"/>
      <c r="D470" s="19"/>
      <c r="E470" s="19"/>
      <c r="F470" s="20"/>
      <c r="G470" s="14" t="s">
        <v>629</v>
      </c>
      <c r="H470" s="51"/>
      <c r="I470" s="47" t="s">
        <v>339</v>
      </c>
      <c r="J470" s="48"/>
      <c r="K470" s="49">
        <f>K471</f>
        <v>10000</v>
      </c>
      <c r="L470" s="49"/>
      <c r="M470" s="225">
        <f t="shared" ref="M470:Q472" si="40">M471</f>
        <v>10000</v>
      </c>
      <c r="N470" s="49">
        <f t="shared" si="40"/>
        <v>0</v>
      </c>
      <c r="O470" s="355">
        <f t="shared" si="40"/>
        <v>62000</v>
      </c>
      <c r="P470" s="353"/>
      <c r="Q470" s="353">
        <f t="shared" si="40"/>
        <v>62000</v>
      </c>
      <c r="R470" s="350">
        <f t="shared" si="37"/>
        <v>100</v>
      </c>
    </row>
    <row r="471" spans="1:18" ht="46.5" x14ac:dyDescent="0.35">
      <c r="A471" s="4"/>
      <c r="B471" s="19"/>
      <c r="C471" s="19"/>
      <c r="D471" s="19"/>
      <c r="E471" s="19"/>
      <c r="F471" s="20"/>
      <c r="G471" s="63" t="s">
        <v>227</v>
      </c>
      <c r="H471" s="51"/>
      <c r="I471" s="64" t="s">
        <v>341</v>
      </c>
      <c r="J471" s="48"/>
      <c r="K471" s="49">
        <f>K472</f>
        <v>10000</v>
      </c>
      <c r="L471" s="49"/>
      <c r="M471" s="225">
        <f t="shared" si="40"/>
        <v>10000</v>
      </c>
      <c r="N471" s="49">
        <f t="shared" si="40"/>
        <v>0</v>
      </c>
      <c r="O471" s="359">
        <f t="shared" si="40"/>
        <v>62000</v>
      </c>
      <c r="P471" s="358"/>
      <c r="Q471" s="358">
        <f t="shared" si="40"/>
        <v>62000</v>
      </c>
      <c r="R471" s="350">
        <f t="shared" si="37"/>
        <v>100</v>
      </c>
    </row>
    <row r="472" spans="1:18" ht="77.5" x14ac:dyDescent="0.35">
      <c r="A472" s="4"/>
      <c r="B472" s="19"/>
      <c r="C472" s="19"/>
      <c r="D472" s="19"/>
      <c r="E472" s="19"/>
      <c r="F472" s="20"/>
      <c r="G472" s="14" t="s">
        <v>630</v>
      </c>
      <c r="H472" s="51"/>
      <c r="I472" s="47" t="s">
        <v>342</v>
      </c>
      <c r="J472" s="48"/>
      <c r="K472" s="49">
        <f>K473</f>
        <v>10000</v>
      </c>
      <c r="L472" s="49"/>
      <c r="M472" s="225">
        <f t="shared" si="40"/>
        <v>10000</v>
      </c>
      <c r="N472" s="49">
        <f t="shared" si="40"/>
        <v>0</v>
      </c>
      <c r="O472" s="355">
        <f t="shared" si="40"/>
        <v>62000</v>
      </c>
      <c r="P472" s="353"/>
      <c r="Q472" s="353">
        <f t="shared" si="40"/>
        <v>62000</v>
      </c>
      <c r="R472" s="350">
        <f t="shared" si="37"/>
        <v>100</v>
      </c>
    </row>
    <row r="473" spans="1:18" ht="31" x14ac:dyDescent="0.35">
      <c r="A473" s="4"/>
      <c r="B473" s="19"/>
      <c r="C473" s="19"/>
      <c r="D473" s="19"/>
      <c r="E473" s="19"/>
      <c r="F473" s="20"/>
      <c r="G473" s="51" t="s">
        <v>2</v>
      </c>
      <c r="H473" s="51"/>
      <c r="I473" s="79"/>
      <c r="J473" s="48">
        <v>200</v>
      </c>
      <c r="K473" s="49">
        <v>10000</v>
      </c>
      <c r="L473" s="49"/>
      <c r="M473" s="225">
        <v>10000</v>
      </c>
      <c r="N473" s="49"/>
      <c r="O473" s="355">
        <f>47000+15000</f>
        <v>62000</v>
      </c>
      <c r="P473" s="353"/>
      <c r="Q473" s="353">
        <v>62000</v>
      </c>
      <c r="R473" s="350">
        <f t="shared" si="37"/>
        <v>100</v>
      </c>
    </row>
    <row r="474" spans="1:18" ht="45" x14ac:dyDescent="0.35">
      <c r="A474" s="4"/>
      <c r="B474" s="19"/>
      <c r="C474" s="19"/>
      <c r="D474" s="19"/>
      <c r="E474" s="19"/>
      <c r="F474" s="20"/>
      <c r="G474" s="2" t="s">
        <v>657</v>
      </c>
      <c r="H474" s="51"/>
      <c r="I474" s="60" t="s">
        <v>229</v>
      </c>
      <c r="J474" s="48"/>
      <c r="K474" s="49">
        <f>K475</f>
        <v>19000</v>
      </c>
      <c r="L474" s="49"/>
      <c r="M474" s="225"/>
      <c r="N474" s="49">
        <f t="shared" ref="N474:Q476" si="41">N475</f>
        <v>0</v>
      </c>
      <c r="O474" s="355">
        <f t="shared" si="41"/>
        <v>19000</v>
      </c>
      <c r="P474" s="353"/>
      <c r="Q474" s="353">
        <f t="shared" si="41"/>
        <v>10000</v>
      </c>
      <c r="R474" s="350">
        <f t="shared" si="37"/>
        <v>52.631578947368418</v>
      </c>
    </row>
    <row r="475" spans="1:18" ht="31" x14ac:dyDescent="0.35">
      <c r="A475" s="4"/>
      <c r="B475" s="19"/>
      <c r="C475" s="19"/>
      <c r="D475" s="19"/>
      <c r="E475" s="19"/>
      <c r="F475" s="20"/>
      <c r="G475" s="63" t="s">
        <v>596</v>
      </c>
      <c r="H475" s="51"/>
      <c r="I475" s="64" t="s">
        <v>592</v>
      </c>
      <c r="J475" s="48"/>
      <c r="K475" s="49">
        <f>K476</f>
        <v>19000</v>
      </c>
      <c r="L475" s="49"/>
      <c r="M475" s="225"/>
      <c r="N475" s="49">
        <f t="shared" si="41"/>
        <v>0</v>
      </c>
      <c r="O475" s="355">
        <f t="shared" si="41"/>
        <v>19000</v>
      </c>
      <c r="P475" s="353"/>
      <c r="Q475" s="353">
        <f t="shared" si="41"/>
        <v>10000</v>
      </c>
      <c r="R475" s="350">
        <f t="shared" si="37"/>
        <v>52.631578947368418</v>
      </c>
    </row>
    <row r="476" spans="1:18" ht="46.5" x14ac:dyDescent="0.35">
      <c r="A476" s="4"/>
      <c r="B476" s="19"/>
      <c r="C476" s="19"/>
      <c r="D476" s="19"/>
      <c r="E476" s="19"/>
      <c r="F476" s="20"/>
      <c r="G476" s="51" t="s">
        <v>525</v>
      </c>
      <c r="H476" s="51"/>
      <c r="I476" s="47" t="s">
        <v>593</v>
      </c>
      <c r="J476" s="48"/>
      <c r="K476" s="49">
        <f>K477</f>
        <v>19000</v>
      </c>
      <c r="L476" s="49"/>
      <c r="M476" s="225"/>
      <c r="N476" s="49">
        <f t="shared" si="41"/>
        <v>0</v>
      </c>
      <c r="O476" s="355">
        <f t="shared" si="41"/>
        <v>19000</v>
      </c>
      <c r="P476" s="353"/>
      <c r="Q476" s="353">
        <f t="shared" si="41"/>
        <v>10000</v>
      </c>
      <c r="R476" s="350">
        <f t="shared" si="37"/>
        <v>52.631578947368418</v>
      </c>
    </row>
    <row r="477" spans="1:18" ht="31" x14ac:dyDescent="0.35">
      <c r="A477" s="4"/>
      <c r="B477" s="19"/>
      <c r="C477" s="19"/>
      <c r="D477" s="19"/>
      <c r="E477" s="19"/>
      <c r="F477" s="20"/>
      <c r="G477" s="51" t="s">
        <v>2</v>
      </c>
      <c r="H477" s="51"/>
      <c r="I477" s="79"/>
      <c r="J477" s="48">
        <v>200</v>
      </c>
      <c r="K477" s="49">
        <v>19000</v>
      </c>
      <c r="L477" s="49"/>
      <c r="M477" s="225"/>
      <c r="N477" s="49"/>
      <c r="O477" s="355">
        <v>19000</v>
      </c>
      <c r="P477" s="353"/>
      <c r="Q477" s="353">
        <v>10000</v>
      </c>
      <c r="R477" s="350">
        <f t="shared" si="37"/>
        <v>52.631578947368418</v>
      </c>
    </row>
    <row r="478" spans="1:18" ht="45" x14ac:dyDescent="0.35">
      <c r="A478" s="4"/>
      <c r="B478" s="19"/>
      <c r="C478" s="19"/>
      <c r="D478" s="19"/>
      <c r="E478" s="19"/>
      <c r="F478" s="20"/>
      <c r="G478" s="2" t="s">
        <v>658</v>
      </c>
      <c r="H478" s="51"/>
      <c r="I478" s="60" t="s">
        <v>515</v>
      </c>
      <c r="J478" s="48"/>
      <c r="K478" s="49">
        <f>K479</f>
        <v>10000</v>
      </c>
      <c r="L478" s="49"/>
      <c r="M478" s="225"/>
      <c r="N478" s="49">
        <f t="shared" ref="N478:Q480" si="42">N479</f>
        <v>0</v>
      </c>
      <c r="O478" s="355">
        <f t="shared" si="42"/>
        <v>10000</v>
      </c>
      <c r="P478" s="353"/>
      <c r="Q478" s="353">
        <f t="shared" si="42"/>
        <v>10000</v>
      </c>
      <c r="R478" s="350">
        <f t="shared" si="37"/>
        <v>100</v>
      </c>
    </row>
    <row r="479" spans="1:18" ht="46.5" x14ac:dyDescent="0.35">
      <c r="A479" s="4"/>
      <c r="B479" s="19"/>
      <c r="C479" s="19"/>
      <c r="D479" s="19"/>
      <c r="E479" s="19"/>
      <c r="F479" s="20"/>
      <c r="G479" s="63" t="s">
        <v>595</v>
      </c>
      <c r="H479" s="51"/>
      <c r="I479" s="64" t="s">
        <v>516</v>
      </c>
      <c r="J479" s="48"/>
      <c r="K479" s="49">
        <f>K480</f>
        <v>10000</v>
      </c>
      <c r="L479" s="49"/>
      <c r="M479" s="225"/>
      <c r="N479" s="49">
        <f t="shared" si="42"/>
        <v>0</v>
      </c>
      <c r="O479" s="355">
        <f t="shared" si="42"/>
        <v>10000</v>
      </c>
      <c r="P479" s="353"/>
      <c r="Q479" s="353">
        <f t="shared" si="42"/>
        <v>10000</v>
      </c>
      <c r="R479" s="350">
        <f t="shared" si="37"/>
        <v>100</v>
      </c>
    </row>
    <row r="480" spans="1:18" ht="46.5" x14ac:dyDescent="0.35">
      <c r="A480" s="4"/>
      <c r="B480" s="19"/>
      <c r="C480" s="19"/>
      <c r="D480" s="19"/>
      <c r="E480" s="19"/>
      <c r="F480" s="20"/>
      <c r="G480" s="51" t="s">
        <v>526</v>
      </c>
      <c r="H480" s="51"/>
      <c r="I480" s="47" t="s">
        <v>594</v>
      </c>
      <c r="J480" s="48"/>
      <c r="K480" s="49">
        <f>K481</f>
        <v>10000</v>
      </c>
      <c r="L480" s="49"/>
      <c r="M480" s="225"/>
      <c r="N480" s="49">
        <f t="shared" si="42"/>
        <v>0</v>
      </c>
      <c r="O480" s="355">
        <f t="shared" si="42"/>
        <v>10000</v>
      </c>
      <c r="P480" s="353"/>
      <c r="Q480" s="353">
        <f t="shared" si="42"/>
        <v>10000</v>
      </c>
      <c r="R480" s="350">
        <f t="shared" si="37"/>
        <v>100</v>
      </c>
    </row>
    <row r="481" spans="1:18" ht="31" x14ac:dyDescent="0.35">
      <c r="A481" s="4"/>
      <c r="B481" s="19"/>
      <c r="C481" s="19"/>
      <c r="D481" s="19"/>
      <c r="E481" s="19"/>
      <c r="F481" s="20"/>
      <c r="G481" s="51" t="s">
        <v>2</v>
      </c>
      <c r="H481" s="51"/>
      <c r="I481" s="79"/>
      <c r="J481" s="48">
        <v>200</v>
      </c>
      <c r="K481" s="49">
        <v>10000</v>
      </c>
      <c r="L481" s="49"/>
      <c r="M481" s="225"/>
      <c r="N481" s="49"/>
      <c r="O481" s="355">
        <v>10000</v>
      </c>
      <c r="P481" s="353"/>
      <c r="Q481" s="353">
        <v>10000</v>
      </c>
      <c r="R481" s="350">
        <f t="shared" si="37"/>
        <v>100</v>
      </c>
    </row>
    <row r="482" spans="1:18" ht="66.650000000000006" hidden="1" customHeight="1" x14ac:dyDescent="0.35">
      <c r="A482" s="4"/>
      <c r="B482" s="297"/>
      <c r="C482" s="297"/>
      <c r="D482" s="297"/>
      <c r="E482" s="297"/>
      <c r="F482" s="298"/>
      <c r="G482" s="2" t="s">
        <v>631</v>
      </c>
      <c r="H482" s="51"/>
      <c r="I482" s="60" t="s">
        <v>402</v>
      </c>
      <c r="J482" s="48"/>
      <c r="K482" s="49"/>
      <c r="L482" s="49"/>
      <c r="M482" s="225"/>
      <c r="N482" s="49"/>
      <c r="O482" s="354">
        <f>O483</f>
        <v>0</v>
      </c>
      <c r="P482" s="353"/>
      <c r="Q482" s="353"/>
      <c r="R482" s="350" t="e">
        <f t="shared" si="37"/>
        <v>#DIV/0!</v>
      </c>
    </row>
    <row r="483" spans="1:18" ht="65.5" hidden="1" customHeight="1" x14ac:dyDescent="0.35">
      <c r="A483" s="4"/>
      <c r="B483" s="297"/>
      <c r="C483" s="297"/>
      <c r="D483" s="297"/>
      <c r="E483" s="297"/>
      <c r="F483" s="298"/>
      <c r="G483" s="14" t="s">
        <v>632</v>
      </c>
      <c r="H483" s="51"/>
      <c r="I483" s="47" t="s">
        <v>403</v>
      </c>
      <c r="J483" s="48"/>
      <c r="K483" s="49"/>
      <c r="L483" s="49"/>
      <c r="M483" s="225"/>
      <c r="N483" s="49"/>
      <c r="O483" s="355">
        <f>O484</f>
        <v>0</v>
      </c>
      <c r="P483" s="353"/>
      <c r="Q483" s="353"/>
      <c r="R483" s="350" t="e">
        <f t="shared" si="37"/>
        <v>#DIV/0!</v>
      </c>
    </row>
    <row r="484" spans="1:18" ht="50.5" hidden="1" customHeight="1" x14ac:dyDescent="0.35">
      <c r="A484" s="4"/>
      <c r="B484" s="297"/>
      <c r="C484" s="297"/>
      <c r="D484" s="297"/>
      <c r="E484" s="297"/>
      <c r="F484" s="298"/>
      <c r="G484" s="63" t="s">
        <v>432</v>
      </c>
      <c r="H484" s="51"/>
      <c r="I484" s="64" t="s">
        <v>404</v>
      </c>
      <c r="J484" s="48"/>
      <c r="K484" s="49"/>
      <c r="L484" s="49"/>
      <c r="M484" s="225"/>
      <c r="N484" s="49"/>
      <c r="O484" s="355">
        <f>O485</f>
        <v>0</v>
      </c>
      <c r="P484" s="353"/>
      <c r="Q484" s="353"/>
      <c r="R484" s="350" t="e">
        <f t="shared" si="37"/>
        <v>#DIV/0!</v>
      </c>
    </row>
    <row r="485" spans="1:18" ht="77.5" hidden="1" x14ac:dyDescent="0.35">
      <c r="A485" s="4"/>
      <c r="B485" s="297"/>
      <c r="C485" s="297"/>
      <c r="D485" s="297"/>
      <c r="E485" s="297"/>
      <c r="F485" s="298"/>
      <c r="G485" s="14" t="s">
        <v>633</v>
      </c>
      <c r="H485" s="51"/>
      <c r="I485" s="47" t="s">
        <v>405</v>
      </c>
      <c r="J485" s="48"/>
      <c r="K485" s="49"/>
      <c r="L485" s="49"/>
      <c r="M485" s="225"/>
      <c r="N485" s="49"/>
      <c r="O485" s="355">
        <f>O486</f>
        <v>0</v>
      </c>
      <c r="P485" s="353"/>
      <c r="Q485" s="353"/>
      <c r="R485" s="350" t="e">
        <f t="shared" si="37"/>
        <v>#DIV/0!</v>
      </c>
    </row>
    <row r="486" spans="1:18" ht="31" hidden="1" x14ac:dyDescent="0.35">
      <c r="A486" s="4"/>
      <c r="B486" s="297"/>
      <c r="C486" s="297"/>
      <c r="D486" s="297"/>
      <c r="E486" s="297"/>
      <c r="F486" s="298"/>
      <c r="G486" s="51" t="s">
        <v>2</v>
      </c>
      <c r="H486" s="51"/>
      <c r="I486" s="47"/>
      <c r="J486" s="48">
        <v>200</v>
      </c>
      <c r="K486" s="49"/>
      <c r="L486" s="49"/>
      <c r="M486" s="225"/>
      <c r="N486" s="49"/>
      <c r="O486" s="355"/>
      <c r="P486" s="353"/>
      <c r="Q486" s="353"/>
      <c r="R486" s="350" t="e">
        <f t="shared" si="37"/>
        <v>#DIV/0!</v>
      </c>
    </row>
    <row r="487" spans="1:18" hidden="1" x14ac:dyDescent="0.35">
      <c r="A487" s="4"/>
      <c r="B487" s="19"/>
      <c r="C487" s="19"/>
      <c r="D487" s="19"/>
      <c r="E487" s="19"/>
      <c r="F487" s="20"/>
      <c r="G487" s="163" t="s">
        <v>428</v>
      </c>
      <c r="H487" s="51"/>
      <c r="I487" s="64" t="s">
        <v>426</v>
      </c>
      <c r="J487" s="48"/>
      <c r="K487" s="49">
        <f>K488</f>
        <v>0</v>
      </c>
      <c r="L487" s="49"/>
      <c r="M487" s="225">
        <f>M488</f>
        <v>40000</v>
      </c>
      <c r="N487" s="49"/>
      <c r="O487" s="355"/>
      <c r="P487" s="353"/>
      <c r="Q487" s="353"/>
      <c r="R487" s="350" t="e">
        <f t="shared" si="37"/>
        <v>#DIV/0!</v>
      </c>
    </row>
    <row r="488" spans="1:18" ht="31" hidden="1" x14ac:dyDescent="0.35">
      <c r="A488" s="4"/>
      <c r="B488" s="19"/>
      <c r="C488" s="19"/>
      <c r="D488" s="19"/>
      <c r="E488" s="19"/>
      <c r="F488" s="20"/>
      <c r="G488" s="51" t="s">
        <v>429</v>
      </c>
      <c r="H488" s="51"/>
      <c r="I488" s="47" t="s">
        <v>427</v>
      </c>
      <c r="J488" s="48"/>
      <c r="K488" s="49">
        <f>K489</f>
        <v>0</v>
      </c>
      <c r="L488" s="49"/>
      <c r="M488" s="225">
        <f>M489</f>
        <v>40000</v>
      </c>
      <c r="N488" s="49"/>
      <c r="O488" s="355"/>
      <c r="P488" s="353"/>
      <c r="Q488" s="353"/>
      <c r="R488" s="350" t="e">
        <f t="shared" si="37"/>
        <v>#DIV/0!</v>
      </c>
    </row>
    <row r="489" spans="1:18" ht="31" hidden="1" x14ac:dyDescent="0.35">
      <c r="A489" s="4"/>
      <c r="B489" s="19"/>
      <c r="C489" s="19"/>
      <c r="D489" s="19"/>
      <c r="E489" s="19"/>
      <c r="F489" s="20"/>
      <c r="G489" s="51" t="s">
        <v>2</v>
      </c>
      <c r="H489" s="51"/>
      <c r="I489" s="47"/>
      <c r="J489" s="48">
        <v>200</v>
      </c>
      <c r="K489" s="49"/>
      <c r="L489" s="49"/>
      <c r="M489" s="225">
        <v>40000</v>
      </c>
      <c r="N489" s="49"/>
      <c r="O489" s="355"/>
      <c r="P489" s="353"/>
      <c r="Q489" s="353"/>
      <c r="R489" s="350" t="e">
        <f t="shared" si="37"/>
        <v>#DIV/0!</v>
      </c>
    </row>
    <row r="490" spans="1:18" ht="45.65" hidden="1" customHeight="1" x14ac:dyDescent="0.35">
      <c r="A490" s="4"/>
      <c r="B490" s="245"/>
      <c r="C490" s="245"/>
      <c r="D490" s="245"/>
      <c r="E490" s="245"/>
      <c r="F490" s="246"/>
      <c r="G490" s="115" t="s">
        <v>565</v>
      </c>
      <c r="H490" s="115"/>
      <c r="I490" s="60" t="s">
        <v>233</v>
      </c>
      <c r="J490" s="116"/>
      <c r="K490" s="121"/>
      <c r="L490" s="121"/>
      <c r="M490" s="226"/>
      <c r="N490" s="121"/>
      <c r="O490" s="354">
        <f t="shared" ref="O490:O493" si="43">O491</f>
        <v>0</v>
      </c>
      <c r="P490" s="352"/>
      <c r="Q490" s="353"/>
      <c r="R490" s="350" t="e">
        <f t="shared" si="37"/>
        <v>#DIV/0!</v>
      </c>
    </row>
    <row r="491" spans="1:18" ht="45" hidden="1" x14ac:dyDescent="0.35">
      <c r="A491" s="4"/>
      <c r="B491" s="245"/>
      <c r="C491" s="245"/>
      <c r="D491" s="245"/>
      <c r="E491" s="245"/>
      <c r="F491" s="246"/>
      <c r="G491" s="115" t="s">
        <v>566</v>
      </c>
      <c r="H491" s="51"/>
      <c r="I491" s="119" t="s">
        <v>245</v>
      </c>
      <c r="J491" s="116"/>
      <c r="K491" s="49"/>
      <c r="L491" s="49"/>
      <c r="M491" s="225"/>
      <c r="N491" s="49"/>
      <c r="O491" s="352">
        <f t="shared" si="43"/>
        <v>0</v>
      </c>
      <c r="P491" s="353"/>
      <c r="Q491" s="353"/>
      <c r="R491" s="350" t="e">
        <f t="shared" si="37"/>
        <v>#DIV/0!</v>
      </c>
    </row>
    <row r="492" spans="1:18" ht="37.5" hidden="1" customHeight="1" x14ac:dyDescent="0.35">
      <c r="A492" s="4"/>
      <c r="B492" s="245"/>
      <c r="C492" s="245"/>
      <c r="D492" s="245"/>
      <c r="E492" s="245"/>
      <c r="F492" s="246"/>
      <c r="G492" s="63" t="s">
        <v>545</v>
      </c>
      <c r="H492" s="51"/>
      <c r="I492" s="117" t="s">
        <v>547</v>
      </c>
      <c r="J492" s="118"/>
      <c r="K492" s="49"/>
      <c r="L492" s="49"/>
      <c r="M492" s="225"/>
      <c r="N492" s="49"/>
      <c r="O492" s="358">
        <f t="shared" si="43"/>
        <v>0</v>
      </c>
      <c r="P492" s="353"/>
      <c r="Q492" s="353"/>
      <c r="R492" s="350" t="e">
        <f t="shared" si="37"/>
        <v>#DIV/0!</v>
      </c>
    </row>
    <row r="493" spans="1:18" ht="31" hidden="1" x14ac:dyDescent="0.35">
      <c r="A493" s="4"/>
      <c r="B493" s="245"/>
      <c r="C493" s="245"/>
      <c r="D493" s="245"/>
      <c r="E493" s="245"/>
      <c r="F493" s="246"/>
      <c r="G493" s="51" t="s">
        <v>546</v>
      </c>
      <c r="H493" s="51"/>
      <c r="I493" s="52" t="s">
        <v>548</v>
      </c>
      <c r="J493" s="48"/>
      <c r="K493" s="49"/>
      <c r="L493" s="49"/>
      <c r="M493" s="225"/>
      <c r="N493" s="49"/>
      <c r="O493" s="353">
        <f t="shared" si="43"/>
        <v>0</v>
      </c>
      <c r="P493" s="353"/>
      <c r="Q493" s="353"/>
      <c r="R493" s="350" t="e">
        <f t="shared" si="37"/>
        <v>#DIV/0!</v>
      </c>
    </row>
    <row r="494" spans="1:18" ht="31" hidden="1" x14ac:dyDescent="0.35">
      <c r="A494" s="4"/>
      <c r="B494" s="245"/>
      <c r="C494" s="245"/>
      <c r="D494" s="245"/>
      <c r="E494" s="245"/>
      <c r="F494" s="246"/>
      <c r="G494" s="51" t="s">
        <v>10</v>
      </c>
      <c r="H494" s="51"/>
      <c r="I494" s="47"/>
      <c r="J494" s="188">
        <v>400</v>
      </c>
      <c r="K494" s="49"/>
      <c r="L494" s="49"/>
      <c r="M494" s="225"/>
      <c r="N494" s="49"/>
      <c r="O494" s="353">
        <v>0</v>
      </c>
      <c r="P494" s="353"/>
      <c r="Q494" s="353"/>
      <c r="R494" s="350" t="e">
        <f t="shared" si="37"/>
        <v>#DIV/0!</v>
      </c>
    </row>
    <row r="495" spans="1:18" ht="45" x14ac:dyDescent="0.35">
      <c r="A495" s="4"/>
      <c r="B495" s="271"/>
      <c r="C495" s="271"/>
      <c r="D495" s="271"/>
      <c r="E495" s="271"/>
      <c r="F495" s="272"/>
      <c r="G495" s="2" t="s">
        <v>634</v>
      </c>
      <c r="H495" s="51"/>
      <c r="I495" s="60" t="s">
        <v>233</v>
      </c>
      <c r="J495" s="188"/>
      <c r="K495" s="49"/>
      <c r="L495" s="49"/>
      <c r="M495" s="225"/>
      <c r="N495" s="49"/>
      <c r="O495" s="352">
        <f>O496</f>
        <v>1545230</v>
      </c>
      <c r="P495" s="353"/>
      <c r="Q495" s="352">
        <f>Q496</f>
        <v>1545229.03</v>
      </c>
      <c r="R495" s="350">
        <f t="shared" si="37"/>
        <v>99.999937226173458</v>
      </c>
    </row>
    <row r="496" spans="1:18" ht="51" customHeight="1" x14ac:dyDescent="0.35">
      <c r="A496" s="4"/>
      <c r="B496" s="271"/>
      <c r="C496" s="271"/>
      <c r="D496" s="271"/>
      <c r="E496" s="271"/>
      <c r="F496" s="272"/>
      <c r="G496" s="2" t="s">
        <v>659</v>
      </c>
      <c r="H496" s="51"/>
      <c r="I496" s="60" t="s">
        <v>245</v>
      </c>
      <c r="J496" s="188"/>
      <c r="K496" s="49"/>
      <c r="L496" s="49"/>
      <c r="M496" s="225"/>
      <c r="N496" s="49"/>
      <c r="O496" s="353">
        <f>O497</f>
        <v>1545230</v>
      </c>
      <c r="P496" s="353"/>
      <c r="Q496" s="353">
        <f>Q497</f>
        <v>1545229.03</v>
      </c>
      <c r="R496" s="350">
        <f t="shared" si="37"/>
        <v>99.999937226173458</v>
      </c>
    </row>
    <row r="497" spans="1:18" ht="33" customHeight="1" x14ac:dyDescent="0.35">
      <c r="A497" s="4"/>
      <c r="B497" s="271"/>
      <c r="C497" s="271"/>
      <c r="D497" s="271"/>
      <c r="E497" s="271"/>
      <c r="F497" s="272"/>
      <c r="G497" s="63" t="s">
        <v>545</v>
      </c>
      <c r="H497" s="51"/>
      <c r="I497" s="64" t="s">
        <v>246</v>
      </c>
      <c r="J497" s="188"/>
      <c r="K497" s="49"/>
      <c r="L497" s="49"/>
      <c r="M497" s="225"/>
      <c r="N497" s="49"/>
      <c r="O497" s="358">
        <f>O498</f>
        <v>1545230</v>
      </c>
      <c r="P497" s="358"/>
      <c r="Q497" s="358">
        <f>Q498</f>
        <v>1545229.03</v>
      </c>
      <c r="R497" s="350">
        <f t="shared" si="37"/>
        <v>99.999937226173458</v>
      </c>
    </row>
    <row r="498" spans="1:18" ht="31" x14ac:dyDescent="0.35">
      <c r="A498" s="4"/>
      <c r="B498" s="271"/>
      <c r="C498" s="271"/>
      <c r="D498" s="271"/>
      <c r="E498" s="271"/>
      <c r="F498" s="272"/>
      <c r="G498" s="51" t="s">
        <v>546</v>
      </c>
      <c r="H498" s="51"/>
      <c r="I498" s="52" t="s">
        <v>548</v>
      </c>
      <c r="J498" s="188"/>
      <c r="K498" s="49"/>
      <c r="L498" s="49"/>
      <c r="M498" s="225"/>
      <c r="N498" s="49"/>
      <c r="O498" s="353">
        <f>O499</f>
        <v>1545230</v>
      </c>
      <c r="P498" s="353"/>
      <c r="Q498" s="353">
        <f>Q499</f>
        <v>1545229.03</v>
      </c>
      <c r="R498" s="350">
        <f t="shared" si="37"/>
        <v>99.999937226173458</v>
      </c>
    </row>
    <row r="499" spans="1:18" ht="46.5" x14ac:dyDescent="0.35">
      <c r="A499" s="4"/>
      <c r="B499" s="271"/>
      <c r="C499" s="271"/>
      <c r="D499" s="271"/>
      <c r="E499" s="271"/>
      <c r="F499" s="272"/>
      <c r="G499" s="51" t="s">
        <v>10</v>
      </c>
      <c r="H499" s="51"/>
      <c r="I499" s="47"/>
      <c r="J499" s="188">
        <v>400</v>
      </c>
      <c r="K499" s="49"/>
      <c r="L499" s="49"/>
      <c r="M499" s="225"/>
      <c r="N499" s="49"/>
      <c r="O499" s="353">
        <f>1885814+13872840-14213424</f>
        <v>1545230</v>
      </c>
      <c r="P499" s="353"/>
      <c r="Q499" s="353">
        <v>1545229.03</v>
      </c>
      <c r="R499" s="350">
        <f t="shared" si="37"/>
        <v>99.999937226173458</v>
      </c>
    </row>
    <row r="500" spans="1:18" ht="60" x14ac:dyDescent="0.35">
      <c r="A500" s="4"/>
      <c r="B500" s="19"/>
      <c r="C500" s="19"/>
      <c r="D500" s="19"/>
      <c r="E500" s="19"/>
      <c r="F500" s="20"/>
      <c r="G500" s="2" t="s">
        <v>660</v>
      </c>
      <c r="H500" s="115"/>
      <c r="I500" s="60" t="s">
        <v>253</v>
      </c>
      <c r="J500" s="116" t="s">
        <v>0</v>
      </c>
      <c r="K500" s="121">
        <f>K506+K510</f>
        <v>21628423</v>
      </c>
      <c r="L500" s="121">
        <f>L501+L510</f>
        <v>0</v>
      </c>
      <c r="M500" s="226">
        <f>M501+M510</f>
        <v>11628423</v>
      </c>
      <c r="N500" s="121">
        <f t="shared" ref="N500" si="44">N506+N510</f>
        <v>94450</v>
      </c>
      <c r="O500" s="354">
        <f>O506+O510+O526</f>
        <v>17956611</v>
      </c>
      <c r="P500" s="353"/>
      <c r="Q500" s="352">
        <f>Q506+Q510+Q526</f>
        <v>17626610.969999999</v>
      </c>
      <c r="R500" s="350">
        <f t="shared" si="37"/>
        <v>98.162236571255008</v>
      </c>
    </row>
    <row r="501" spans="1:18" ht="46.5" hidden="1" x14ac:dyDescent="0.35">
      <c r="A501" s="4"/>
      <c r="B501" s="19"/>
      <c r="C501" s="19"/>
      <c r="D501" s="19"/>
      <c r="E501" s="19"/>
      <c r="F501" s="20"/>
      <c r="G501" s="51" t="s">
        <v>501</v>
      </c>
      <c r="H501" s="115"/>
      <c r="I501" s="47" t="s">
        <v>254</v>
      </c>
      <c r="J501" s="48" t="s">
        <v>0</v>
      </c>
      <c r="K501" s="49">
        <f t="shared" ref="K501:M502" si="45">K502</f>
        <v>0</v>
      </c>
      <c r="L501" s="49">
        <f t="shared" si="45"/>
        <v>0</v>
      </c>
      <c r="M501" s="225">
        <f t="shared" si="45"/>
        <v>0</v>
      </c>
      <c r="N501" s="49"/>
      <c r="O501" s="355"/>
      <c r="P501" s="353"/>
      <c r="Q501" s="352"/>
      <c r="R501" s="350" t="e">
        <f t="shared" si="37"/>
        <v>#DIV/0!</v>
      </c>
    </row>
    <row r="502" spans="1:18" ht="52.5" hidden="1" customHeight="1" x14ac:dyDescent="0.35">
      <c r="A502" s="4"/>
      <c r="B502" s="19"/>
      <c r="C502" s="19"/>
      <c r="D502" s="19"/>
      <c r="E502" s="19"/>
      <c r="F502" s="20"/>
      <c r="G502" s="63" t="s">
        <v>309</v>
      </c>
      <c r="H502" s="63"/>
      <c r="I502" s="64" t="s">
        <v>255</v>
      </c>
      <c r="J502" s="48"/>
      <c r="K502" s="49">
        <f t="shared" si="45"/>
        <v>0</v>
      </c>
      <c r="L502" s="49">
        <f t="shared" si="45"/>
        <v>0</v>
      </c>
      <c r="M502" s="225">
        <f t="shared" si="45"/>
        <v>0</v>
      </c>
      <c r="N502" s="49"/>
      <c r="O502" s="355"/>
      <c r="P502" s="353"/>
      <c r="Q502" s="352"/>
      <c r="R502" s="350" t="e">
        <f t="shared" si="37"/>
        <v>#DIV/0!</v>
      </c>
    </row>
    <row r="503" spans="1:18" ht="49.4" hidden="1" customHeight="1" x14ac:dyDescent="0.35">
      <c r="A503" s="4"/>
      <c r="B503" s="19"/>
      <c r="C503" s="19"/>
      <c r="D503" s="19"/>
      <c r="E503" s="19"/>
      <c r="F503" s="20"/>
      <c r="G503" s="51" t="s">
        <v>502</v>
      </c>
      <c r="H503" s="51"/>
      <c r="I503" s="47" t="s">
        <v>256</v>
      </c>
      <c r="J503" s="48"/>
      <c r="K503" s="49">
        <f>K504+K505</f>
        <v>0</v>
      </c>
      <c r="L503" s="49">
        <f>L504+L505</f>
        <v>0</v>
      </c>
      <c r="M503" s="225">
        <f>M504+M505</f>
        <v>0</v>
      </c>
      <c r="N503" s="49"/>
      <c r="O503" s="355"/>
      <c r="P503" s="353"/>
      <c r="Q503" s="352"/>
      <c r="R503" s="350" t="e">
        <f t="shared" si="37"/>
        <v>#DIV/0!</v>
      </c>
    </row>
    <row r="504" spans="1:18" ht="42" hidden="1" customHeight="1" x14ac:dyDescent="0.35">
      <c r="A504" s="4"/>
      <c r="B504" s="19"/>
      <c r="C504" s="19"/>
      <c r="D504" s="19"/>
      <c r="E504" s="19"/>
      <c r="F504" s="20"/>
      <c r="G504" s="51" t="s">
        <v>4</v>
      </c>
      <c r="H504" s="51"/>
      <c r="I504" s="52"/>
      <c r="J504" s="48">
        <v>400</v>
      </c>
      <c r="K504" s="49"/>
      <c r="L504" s="49"/>
      <c r="M504" s="225"/>
      <c r="N504" s="49"/>
      <c r="O504" s="355"/>
      <c r="P504" s="353"/>
      <c r="Q504" s="352"/>
      <c r="R504" s="350" t="e">
        <f t="shared" si="37"/>
        <v>#DIV/0!</v>
      </c>
    </row>
    <row r="505" spans="1:18" ht="35.15" hidden="1" customHeight="1" x14ac:dyDescent="0.35">
      <c r="A505" s="4"/>
      <c r="B505" s="19"/>
      <c r="C505" s="19"/>
      <c r="D505" s="19"/>
      <c r="E505" s="19"/>
      <c r="F505" s="20"/>
      <c r="G505" s="51" t="s">
        <v>10</v>
      </c>
      <c r="H505" s="51"/>
      <c r="I505" s="52"/>
      <c r="J505" s="48">
        <v>400</v>
      </c>
      <c r="K505" s="49"/>
      <c r="L505" s="49"/>
      <c r="M505" s="225">
        <f>K505+L505</f>
        <v>0</v>
      </c>
      <c r="N505" s="49"/>
      <c r="O505" s="355"/>
      <c r="P505" s="353"/>
      <c r="Q505" s="352"/>
      <c r="R505" s="350" t="e">
        <f t="shared" si="37"/>
        <v>#DIV/0!</v>
      </c>
    </row>
    <row r="506" spans="1:18" ht="50.25" hidden="1" customHeight="1" x14ac:dyDescent="0.35">
      <c r="A506" s="4"/>
      <c r="B506" s="239"/>
      <c r="C506" s="239"/>
      <c r="D506" s="239"/>
      <c r="E506" s="239"/>
      <c r="F506" s="240"/>
      <c r="G506" s="115" t="s">
        <v>567</v>
      </c>
      <c r="H506" s="191"/>
      <c r="I506" s="60" t="s">
        <v>254</v>
      </c>
      <c r="J506" s="48"/>
      <c r="K506" s="121">
        <f>K507</f>
        <v>10000000</v>
      </c>
      <c r="L506" s="121"/>
      <c r="M506" s="226"/>
      <c r="N506" s="121">
        <f t="shared" ref="N506:Q506" si="46">N507</f>
        <v>0</v>
      </c>
      <c r="O506" s="354">
        <f t="shared" si="46"/>
        <v>0</v>
      </c>
      <c r="P506" s="353"/>
      <c r="Q506" s="352">
        <f t="shared" si="46"/>
        <v>0</v>
      </c>
      <c r="R506" s="350" t="e">
        <f t="shared" si="37"/>
        <v>#DIV/0!</v>
      </c>
    </row>
    <row r="507" spans="1:18" ht="35.15" hidden="1" customHeight="1" x14ac:dyDescent="0.35">
      <c r="A507" s="4"/>
      <c r="B507" s="239"/>
      <c r="C507" s="239"/>
      <c r="D507" s="239"/>
      <c r="E507" s="239"/>
      <c r="F507" s="240"/>
      <c r="G507" s="63" t="s">
        <v>309</v>
      </c>
      <c r="H507" s="191"/>
      <c r="I507" s="64" t="s">
        <v>255</v>
      </c>
      <c r="J507" s="48"/>
      <c r="K507" s="168">
        <f>K508</f>
        <v>10000000</v>
      </c>
      <c r="L507" s="168"/>
      <c r="M507" s="229"/>
      <c r="N507" s="168">
        <f t="shared" ref="N507:Q507" si="47">N508</f>
        <v>0</v>
      </c>
      <c r="O507" s="359">
        <f t="shared" si="47"/>
        <v>0</v>
      </c>
      <c r="P507" s="353"/>
      <c r="Q507" s="352">
        <f t="shared" si="47"/>
        <v>0</v>
      </c>
      <c r="R507" s="350" t="e">
        <f t="shared" si="37"/>
        <v>#DIV/0!</v>
      </c>
    </row>
    <row r="508" spans="1:18" ht="112.5" hidden="1" customHeight="1" x14ac:dyDescent="0.35">
      <c r="A508" s="4"/>
      <c r="B508" s="239"/>
      <c r="C508" s="239"/>
      <c r="D508" s="239"/>
      <c r="E508" s="239"/>
      <c r="F508" s="240"/>
      <c r="G508" s="137" t="s">
        <v>541</v>
      </c>
      <c r="H508" s="191"/>
      <c r="I508" s="47" t="s">
        <v>542</v>
      </c>
      <c r="J508" s="48"/>
      <c r="K508" s="49">
        <f>K509</f>
        <v>10000000</v>
      </c>
      <c r="L508" s="49"/>
      <c r="M508" s="225"/>
      <c r="N508" s="49">
        <f t="shared" ref="N508:Q508" si="48">N509</f>
        <v>0</v>
      </c>
      <c r="O508" s="355">
        <f t="shared" si="48"/>
        <v>0</v>
      </c>
      <c r="P508" s="353"/>
      <c r="Q508" s="352">
        <f t="shared" si="48"/>
        <v>0</v>
      </c>
      <c r="R508" s="350" t="e">
        <f t="shared" si="37"/>
        <v>#DIV/0!</v>
      </c>
    </row>
    <row r="509" spans="1:18" ht="26.5" hidden="1" customHeight="1" x14ac:dyDescent="0.35">
      <c r="A509" s="4"/>
      <c r="B509" s="239"/>
      <c r="C509" s="239"/>
      <c r="D509" s="239"/>
      <c r="E509" s="239"/>
      <c r="F509" s="240"/>
      <c r="G509" s="137" t="s">
        <v>6</v>
      </c>
      <c r="H509" s="191"/>
      <c r="I509" s="47"/>
      <c r="J509" s="48">
        <v>500</v>
      </c>
      <c r="K509" s="49">
        <v>10000000</v>
      </c>
      <c r="L509" s="49"/>
      <c r="M509" s="225"/>
      <c r="N509" s="49">
        <v>0</v>
      </c>
      <c r="O509" s="355"/>
      <c r="P509" s="353"/>
      <c r="Q509" s="352"/>
      <c r="R509" s="350" t="e">
        <f t="shared" ref="R509:R566" si="49">Q509/O509*100</f>
        <v>#DIV/0!</v>
      </c>
    </row>
    <row r="510" spans="1:18" ht="72" customHeight="1" x14ac:dyDescent="0.35">
      <c r="A510" s="4"/>
      <c r="B510" s="19"/>
      <c r="C510" s="19"/>
      <c r="D510" s="19"/>
      <c r="E510" s="19"/>
      <c r="F510" s="20"/>
      <c r="G510" s="2" t="s">
        <v>661</v>
      </c>
      <c r="H510" s="115"/>
      <c r="I510" s="60" t="s">
        <v>254</v>
      </c>
      <c r="J510" s="116"/>
      <c r="K510" s="121">
        <f t="shared" ref="K510:Q512" si="50">K511</f>
        <v>11628423</v>
      </c>
      <c r="L510" s="121">
        <f t="shared" si="50"/>
        <v>0</v>
      </c>
      <c r="M510" s="226">
        <f t="shared" si="50"/>
        <v>11628423</v>
      </c>
      <c r="N510" s="121">
        <f t="shared" si="50"/>
        <v>94450</v>
      </c>
      <c r="O510" s="354">
        <f t="shared" si="50"/>
        <v>15415189</v>
      </c>
      <c r="P510" s="353"/>
      <c r="Q510" s="352">
        <f t="shared" si="50"/>
        <v>15415189</v>
      </c>
      <c r="R510" s="350">
        <f t="shared" si="49"/>
        <v>100</v>
      </c>
    </row>
    <row r="511" spans="1:18" ht="62" x14ac:dyDescent="0.35">
      <c r="A511" s="4"/>
      <c r="B511" s="19"/>
      <c r="C511" s="19"/>
      <c r="D511" s="19"/>
      <c r="E511" s="19"/>
      <c r="F511" s="20"/>
      <c r="G511" s="63" t="s">
        <v>359</v>
      </c>
      <c r="H511" s="63"/>
      <c r="I511" s="64" t="s">
        <v>255</v>
      </c>
      <c r="J511" s="48"/>
      <c r="K511" s="49">
        <f t="shared" si="50"/>
        <v>11628423</v>
      </c>
      <c r="L511" s="49">
        <f t="shared" si="50"/>
        <v>0</v>
      </c>
      <c r="M511" s="225">
        <f t="shared" si="50"/>
        <v>11628423</v>
      </c>
      <c r="N511" s="49">
        <f t="shared" si="50"/>
        <v>94450</v>
      </c>
      <c r="O511" s="359">
        <f t="shared" si="50"/>
        <v>15415189</v>
      </c>
      <c r="P511" s="358"/>
      <c r="Q511" s="358">
        <f t="shared" si="50"/>
        <v>15415189</v>
      </c>
      <c r="R511" s="350">
        <f t="shared" si="49"/>
        <v>100</v>
      </c>
    </row>
    <row r="512" spans="1:18" ht="91.5" customHeight="1" x14ac:dyDescent="0.35">
      <c r="A512" s="4"/>
      <c r="B512" s="19"/>
      <c r="C512" s="19"/>
      <c r="D512" s="19"/>
      <c r="E512" s="19"/>
      <c r="F512" s="20"/>
      <c r="G512" s="14" t="s">
        <v>662</v>
      </c>
      <c r="H512" s="51"/>
      <c r="I512" s="47" t="s">
        <v>597</v>
      </c>
      <c r="J512" s="48"/>
      <c r="K512" s="49">
        <f t="shared" si="50"/>
        <v>11628423</v>
      </c>
      <c r="L512" s="49">
        <f t="shared" si="50"/>
        <v>0</v>
      </c>
      <c r="M512" s="225">
        <f t="shared" si="50"/>
        <v>11628423</v>
      </c>
      <c r="N512" s="49">
        <f t="shared" si="50"/>
        <v>94450</v>
      </c>
      <c r="O512" s="355">
        <f t="shared" si="50"/>
        <v>15415189</v>
      </c>
      <c r="P512" s="353"/>
      <c r="Q512" s="353">
        <f t="shared" si="50"/>
        <v>15415189</v>
      </c>
      <c r="R512" s="350">
        <f t="shared" si="49"/>
        <v>100</v>
      </c>
    </row>
    <row r="513" spans="1:18" ht="46.5" x14ac:dyDescent="0.35">
      <c r="A513" s="4"/>
      <c r="B513" s="19"/>
      <c r="C513" s="19"/>
      <c r="D513" s="19"/>
      <c r="E513" s="19"/>
      <c r="F513" s="20"/>
      <c r="G513" s="51" t="s">
        <v>4</v>
      </c>
      <c r="H513" s="51"/>
      <c r="I513" s="52"/>
      <c r="J513" s="48">
        <v>600</v>
      </c>
      <c r="K513" s="49">
        <v>11628423</v>
      </c>
      <c r="L513" s="49"/>
      <c r="M513" s="225">
        <f>K513+L513</f>
        <v>11628423</v>
      </c>
      <c r="N513" s="49">
        <v>94450</v>
      </c>
      <c r="O513" s="353">
        <f>15300610-37274+150000+1853</f>
        <v>15415189</v>
      </c>
      <c r="P513" s="353"/>
      <c r="Q513" s="353">
        <v>15415189</v>
      </c>
      <c r="R513" s="350">
        <f t="shared" si="49"/>
        <v>100</v>
      </c>
    </row>
    <row r="514" spans="1:18" ht="66" hidden="1" customHeight="1" x14ac:dyDescent="0.35">
      <c r="A514" s="4"/>
      <c r="B514" s="19"/>
      <c r="C514" s="19"/>
      <c r="D514" s="19"/>
      <c r="E514" s="19"/>
      <c r="F514" s="20"/>
      <c r="G514" s="195" t="s">
        <v>416</v>
      </c>
      <c r="H514" s="115"/>
      <c r="I514" s="60" t="s">
        <v>257</v>
      </c>
      <c r="J514" s="116" t="s">
        <v>0</v>
      </c>
      <c r="K514" s="121">
        <f>K515</f>
        <v>0</v>
      </c>
      <c r="L514" s="121">
        <v>0</v>
      </c>
      <c r="M514" s="226">
        <f>M515</f>
        <v>0</v>
      </c>
      <c r="N514" s="121"/>
      <c r="O514" s="355"/>
      <c r="P514" s="353"/>
      <c r="Q514" s="353"/>
      <c r="R514" s="350" t="e">
        <f t="shared" si="49"/>
        <v>#DIV/0!</v>
      </c>
    </row>
    <row r="515" spans="1:18" ht="62" hidden="1" x14ac:dyDescent="0.35">
      <c r="A515" s="4"/>
      <c r="B515" s="19"/>
      <c r="C515" s="19"/>
      <c r="D515" s="19"/>
      <c r="E515" s="19"/>
      <c r="F515" s="20"/>
      <c r="G515" s="161" t="s">
        <v>417</v>
      </c>
      <c r="H515" s="51"/>
      <c r="I515" s="47" t="s">
        <v>258</v>
      </c>
      <c r="J515" s="48" t="s">
        <v>0</v>
      </c>
      <c r="K515" s="49">
        <f>SUM(K516+K521)</f>
        <v>0</v>
      </c>
      <c r="L515" s="49">
        <f>SUM(L516+L521)</f>
        <v>0</v>
      </c>
      <c r="M515" s="225">
        <f>SUM(M516+M521)</f>
        <v>0</v>
      </c>
      <c r="N515" s="49"/>
      <c r="O515" s="355"/>
      <c r="P515" s="353"/>
      <c r="Q515" s="353"/>
      <c r="R515" s="350" t="e">
        <f t="shared" si="49"/>
        <v>#DIV/0!</v>
      </c>
    </row>
    <row r="516" spans="1:18" ht="31" hidden="1" x14ac:dyDescent="0.35">
      <c r="A516" s="4"/>
      <c r="B516" s="401" t="s">
        <v>9</v>
      </c>
      <c r="C516" s="401"/>
      <c r="D516" s="401"/>
      <c r="E516" s="401"/>
      <c r="F516" s="402"/>
      <c r="G516" s="162" t="s">
        <v>418</v>
      </c>
      <c r="H516" s="63"/>
      <c r="I516" s="64" t="s">
        <v>259</v>
      </c>
      <c r="J516" s="48"/>
      <c r="K516" s="49">
        <f>K517+K519</f>
        <v>0</v>
      </c>
      <c r="L516" s="49">
        <f>L517+L519</f>
        <v>0</v>
      </c>
      <c r="M516" s="225">
        <f>M517+M519</f>
        <v>0</v>
      </c>
      <c r="N516" s="49"/>
      <c r="O516" s="355"/>
      <c r="P516" s="353"/>
      <c r="Q516" s="353"/>
      <c r="R516" s="350" t="e">
        <f t="shared" si="49"/>
        <v>#DIV/0!</v>
      </c>
    </row>
    <row r="517" spans="1:18" ht="46.5" hidden="1" x14ac:dyDescent="0.35">
      <c r="A517" s="4"/>
      <c r="B517" s="384" t="s">
        <v>7</v>
      </c>
      <c r="C517" s="384"/>
      <c r="D517" s="384"/>
      <c r="E517" s="384"/>
      <c r="F517" s="385"/>
      <c r="G517" s="51" t="s">
        <v>437</v>
      </c>
      <c r="I517" s="47" t="s">
        <v>438</v>
      </c>
      <c r="J517" s="48"/>
      <c r="K517" s="49">
        <f>K518</f>
        <v>0</v>
      </c>
      <c r="L517" s="49">
        <f>L518</f>
        <v>0</v>
      </c>
      <c r="M517" s="225">
        <f>M518</f>
        <v>0</v>
      </c>
      <c r="N517" s="49"/>
      <c r="O517" s="355"/>
      <c r="P517" s="353"/>
      <c r="Q517" s="353"/>
      <c r="R517" s="350" t="e">
        <f t="shared" si="49"/>
        <v>#DIV/0!</v>
      </c>
    </row>
    <row r="518" spans="1:18" ht="31.5" hidden="1" customHeight="1" x14ac:dyDescent="0.35">
      <c r="A518" s="4"/>
      <c r="B518" s="17"/>
      <c r="C518" s="17"/>
      <c r="D518" s="17"/>
      <c r="E518" s="17"/>
      <c r="F518" s="18"/>
      <c r="G518" s="51" t="s">
        <v>10</v>
      </c>
      <c r="H518" s="51"/>
      <c r="I518" s="47"/>
      <c r="J518" s="48">
        <v>400</v>
      </c>
      <c r="K518" s="49">
        <v>0</v>
      </c>
      <c r="L518" s="49">
        <v>0</v>
      </c>
      <c r="M518" s="225">
        <f>K518+L518</f>
        <v>0</v>
      </c>
      <c r="N518" s="49"/>
      <c r="O518" s="355"/>
      <c r="P518" s="353"/>
      <c r="Q518" s="353"/>
      <c r="R518" s="350" t="e">
        <f t="shared" si="49"/>
        <v>#DIV/0!</v>
      </c>
    </row>
    <row r="519" spans="1:18" ht="31" hidden="1" x14ac:dyDescent="0.35">
      <c r="A519" s="4"/>
      <c r="B519" s="17"/>
      <c r="C519" s="17"/>
      <c r="D519" s="17"/>
      <c r="E519" s="17"/>
      <c r="F519" s="18"/>
      <c r="G519" s="51" t="s">
        <v>380</v>
      </c>
      <c r="H519" s="51"/>
      <c r="I519" s="47" t="s">
        <v>381</v>
      </c>
      <c r="J519" s="48"/>
      <c r="K519" s="49">
        <f>SUM(K520)</f>
        <v>0</v>
      </c>
      <c r="L519" s="49"/>
      <c r="M519" s="225">
        <f>SUM(M520)</f>
        <v>0</v>
      </c>
      <c r="N519" s="49"/>
      <c r="O519" s="355"/>
      <c r="P519" s="353"/>
      <c r="Q519" s="353"/>
      <c r="R519" s="350" t="e">
        <f t="shared" si="49"/>
        <v>#DIV/0!</v>
      </c>
    </row>
    <row r="520" spans="1:18" ht="31" hidden="1" x14ac:dyDescent="0.35">
      <c r="A520" s="4"/>
      <c r="B520" s="17"/>
      <c r="C520" s="17"/>
      <c r="D520" s="17"/>
      <c r="E520" s="17"/>
      <c r="F520" s="18"/>
      <c r="G520" s="51" t="s">
        <v>10</v>
      </c>
      <c r="H520" s="51"/>
      <c r="I520" s="47"/>
      <c r="J520" s="48">
        <v>400</v>
      </c>
      <c r="K520" s="49"/>
      <c r="L520" s="49"/>
      <c r="M520" s="225"/>
      <c r="N520" s="49"/>
      <c r="O520" s="355"/>
      <c r="P520" s="353"/>
      <c r="Q520" s="353"/>
      <c r="R520" s="350" t="e">
        <f t="shared" si="49"/>
        <v>#DIV/0!</v>
      </c>
    </row>
    <row r="521" spans="1:18" s="100" customFormat="1" ht="31" hidden="1" x14ac:dyDescent="0.35">
      <c r="A521" s="97"/>
      <c r="B521" s="98"/>
      <c r="C521" s="98"/>
      <c r="D521" s="98"/>
      <c r="E521" s="98"/>
      <c r="F521" s="99"/>
      <c r="G521" s="63" t="s">
        <v>388</v>
      </c>
      <c r="H521" s="51"/>
      <c r="I521" s="47" t="s">
        <v>390</v>
      </c>
      <c r="J521" s="48"/>
      <c r="K521" s="49">
        <f>SUM(K522+K524)</f>
        <v>0</v>
      </c>
      <c r="L521" s="49"/>
      <c r="M521" s="225">
        <f>SUM(M522+M524)</f>
        <v>0</v>
      </c>
      <c r="N521" s="49"/>
      <c r="O521" s="355"/>
      <c r="P521" s="353"/>
      <c r="Q521" s="353"/>
      <c r="R521" s="350" t="e">
        <f t="shared" si="49"/>
        <v>#DIV/0!</v>
      </c>
    </row>
    <row r="522" spans="1:18" s="100" customFormat="1" ht="46.5" hidden="1" x14ac:dyDescent="0.35">
      <c r="A522" s="97"/>
      <c r="B522" s="98"/>
      <c r="C522" s="98"/>
      <c r="D522" s="98"/>
      <c r="E522" s="98"/>
      <c r="F522" s="99"/>
      <c r="G522" s="51" t="s">
        <v>389</v>
      </c>
      <c r="H522" s="51"/>
      <c r="I522" s="47" t="s">
        <v>391</v>
      </c>
      <c r="J522" s="48"/>
      <c r="K522" s="49">
        <f>SUM(K523)</f>
        <v>0</v>
      </c>
      <c r="L522" s="49"/>
      <c r="M522" s="225">
        <f>SUM(M523)</f>
        <v>0</v>
      </c>
      <c r="N522" s="49"/>
      <c r="O522" s="355"/>
      <c r="P522" s="353"/>
      <c r="Q522" s="353"/>
      <c r="R522" s="350" t="e">
        <f t="shared" si="49"/>
        <v>#DIV/0!</v>
      </c>
    </row>
    <row r="523" spans="1:18" s="100" customFormat="1" ht="31" hidden="1" x14ac:dyDescent="0.35">
      <c r="A523" s="97"/>
      <c r="B523" s="98"/>
      <c r="C523" s="98"/>
      <c r="D523" s="98"/>
      <c r="E523" s="98"/>
      <c r="F523" s="99"/>
      <c r="G523" s="51" t="s">
        <v>10</v>
      </c>
      <c r="H523" s="51"/>
      <c r="I523" s="47"/>
      <c r="J523" s="48">
        <v>400</v>
      </c>
      <c r="K523" s="49">
        <v>0</v>
      </c>
      <c r="L523" s="49"/>
      <c r="M523" s="225">
        <v>0</v>
      </c>
      <c r="N523" s="49"/>
      <c r="O523" s="355"/>
      <c r="P523" s="353"/>
      <c r="Q523" s="353"/>
      <c r="R523" s="350" t="e">
        <f t="shared" si="49"/>
        <v>#DIV/0!</v>
      </c>
    </row>
    <row r="524" spans="1:18" s="100" customFormat="1" ht="31" hidden="1" x14ac:dyDescent="0.35">
      <c r="A524" s="97"/>
      <c r="B524" s="98"/>
      <c r="C524" s="98"/>
      <c r="D524" s="98"/>
      <c r="E524" s="98"/>
      <c r="F524" s="99"/>
      <c r="G524" s="51" t="s">
        <v>379</v>
      </c>
      <c r="H524" s="51"/>
      <c r="I524" s="47" t="s">
        <v>392</v>
      </c>
      <c r="J524" s="48"/>
      <c r="K524" s="49">
        <f>SUM(K525)</f>
        <v>0</v>
      </c>
      <c r="L524" s="49"/>
      <c r="M524" s="225">
        <f>SUM(M525)</f>
        <v>0</v>
      </c>
      <c r="N524" s="49"/>
      <c r="O524" s="355"/>
      <c r="P524" s="353"/>
      <c r="Q524" s="353"/>
      <c r="R524" s="350" t="e">
        <f t="shared" si="49"/>
        <v>#DIV/0!</v>
      </c>
    </row>
    <row r="525" spans="1:18" s="100" customFormat="1" ht="31" hidden="1" x14ac:dyDescent="0.35">
      <c r="A525" s="97"/>
      <c r="B525" s="98"/>
      <c r="C525" s="98"/>
      <c r="D525" s="98"/>
      <c r="E525" s="98"/>
      <c r="F525" s="99"/>
      <c r="G525" s="51" t="s">
        <v>10</v>
      </c>
      <c r="H525" s="51"/>
      <c r="I525" s="47"/>
      <c r="J525" s="48">
        <v>400</v>
      </c>
      <c r="K525" s="49">
        <v>0</v>
      </c>
      <c r="L525" s="49"/>
      <c r="M525" s="225">
        <v>0</v>
      </c>
      <c r="N525" s="49"/>
      <c r="O525" s="355"/>
      <c r="P525" s="353"/>
      <c r="Q525" s="353"/>
      <c r="R525" s="350" t="e">
        <f t="shared" si="49"/>
        <v>#DIV/0!</v>
      </c>
    </row>
    <row r="526" spans="1:18" s="100" customFormat="1" ht="60" x14ac:dyDescent="0.35">
      <c r="A526" s="97"/>
      <c r="B526" s="98"/>
      <c r="C526" s="98"/>
      <c r="D526" s="98"/>
      <c r="E526" s="98"/>
      <c r="F526" s="99"/>
      <c r="G526" s="115" t="s">
        <v>724</v>
      </c>
      <c r="H526" s="115"/>
      <c r="I526" s="287" t="s">
        <v>727</v>
      </c>
      <c r="J526" s="340"/>
      <c r="K526" s="235"/>
      <c r="L526" s="235"/>
      <c r="M526" s="237"/>
      <c r="N526" s="237"/>
      <c r="O526" s="352">
        <f>O527</f>
        <v>2541422</v>
      </c>
      <c r="P526" s="353"/>
      <c r="Q526" s="352">
        <f>Q527</f>
        <v>2211421.9700000002</v>
      </c>
      <c r="R526" s="350">
        <f t="shared" si="49"/>
        <v>87.015142310092543</v>
      </c>
    </row>
    <row r="527" spans="1:18" s="100" customFormat="1" ht="46.5" x14ac:dyDescent="0.35">
      <c r="A527" s="97"/>
      <c r="B527" s="98"/>
      <c r="C527" s="98"/>
      <c r="D527" s="98"/>
      <c r="E527" s="98"/>
      <c r="F527" s="99"/>
      <c r="G527" s="63" t="s">
        <v>725</v>
      </c>
      <c r="H527" s="63"/>
      <c r="I527" s="203" t="s">
        <v>728</v>
      </c>
      <c r="J527" s="341"/>
      <c r="K527" s="205"/>
      <c r="L527" s="205"/>
      <c r="M527" s="342"/>
      <c r="N527" s="342"/>
      <c r="O527" s="358">
        <f>O528</f>
        <v>2541422</v>
      </c>
      <c r="P527" s="353"/>
      <c r="Q527" s="358">
        <f>Q528</f>
        <v>2211421.9700000002</v>
      </c>
      <c r="R527" s="350">
        <f t="shared" si="49"/>
        <v>87.015142310092543</v>
      </c>
    </row>
    <row r="528" spans="1:18" s="100" customFormat="1" ht="51" customHeight="1" x14ac:dyDescent="0.35">
      <c r="A528" s="97"/>
      <c r="B528" s="98"/>
      <c r="C528" s="98"/>
      <c r="D528" s="98"/>
      <c r="E528" s="98"/>
      <c r="F528" s="99"/>
      <c r="G528" s="51" t="s">
        <v>726</v>
      </c>
      <c r="H528" s="51"/>
      <c r="I528" s="3" t="s">
        <v>729</v>
      </c>
      <c r="J528" s="204"/>
      <c r="K528" s="207"/>
      <c r="L528" s="207"/>
      <c r="M528" s="238"/>
      <c r="N528" s="238"/>
      <c r="O528" s="353">
        <f>O529</f>
        <v>2541422</v>
      </c>
      <c r="P528" s="353"/>
      <c r="Q528" s="353">
        <f>Q529</f>
        <v>2211421.9700000002</v>
      </c>
      <c r="R528" s="350">
        <f t="shared" si="49"/>
        <v>87.015142310092543</v>
      </c>
    </row>
    <row r="529" spans="1:18" s="100" customFormat="1" ht="31" x14ac:dyDescent="0.35">
      <c r="A529" s="97"/>
      <c r="B529" s="98"/>
      <c r="C529" s="98"/>
      <c r="D529" s="98"/>
      <c r="E529" s="98"/>
      <c r="F529" s="99"/>
      <c r="G529" s="51" t="s">
        <v>2</v>
      </c>
      <c r="H529" s="51"/>
      <c r="I529" s="3"/>
      <c r="J529" s="204">
        <v>200</v>
      </c>
      <c r="K529" s="207"/>
      <c r="L529" s="207"/>
      <c r="M529" s="238"/>
      <c r="N529" s="238"/>
      <c r="O529" s="353">
        <f>3000000-279200-779378+600000</f>
        <v>2541422</v>
      </c>
      <c r="P529" s="353"/>
      <c r="Q529" s="353">
        <v>2211421.9700000002</v>
      </c>
      <c r="R529" s="350">
        <f t="shared" si="49"/>
        <v>87.015142310092543</v>
      </c>
    </row>
    <row r="530" spans="1:18" ht="37.5" hidden="1" customHeight="1" x14ac:dyDescent="0.35">
      <c r="A530" s="4"/>
      <c r="B530" s="17"/>
      <c r="C530" s="17"/>
      <c r="D530" s="17"/>
      <c r="E530" s="17"/>
      <c r="F530" s="18"/>
      <c r="G530" s="141" t="s">
        <v>343</v>
      </c>
      <c r="H530" s="137"/>
      <c r="I530" s="64" t="s">
        <v>345</v>
      </c>
      <c r="J530" s="139"/>
      <c r="K530" s="140">
        <f>K531</f>
        <v>0</v>
      </c>
      <c r="L530" s="140"/>
      <c r="M530" s="230">
        <f>M531</f>
        <v>0</v>
      </c>
      <c r="N530" s="49"/>
      <c r="O530" s="355"/>
      <c r="P530" s="353"/>
      <c r="Q530" s="353"/>
      <c r="R530" s="350" t="e">
        <f t="shared" si="49"/>
        <v>#DIV/0!</v>
      </c>
    </row>
    <row r="531" spans="1:18" ht="39.75" hidden="1" customHeight="1" x14ac:dyDescent="0.35">
      <c r="A531" s="4"/>
      <c r="B531" s="17"/>
      <c r="C531" s="17"/>
      <c r="D531" s="17"/>
      <c r="E531" s="17"/>
      <c r="F531" s="18"/>
      <c r="G531" s="137" t="s">
        <v>344</v>
      </c>
      <c r="H531" s="137"/>
      <c r="I531" s="47" t="s">
        <v>346</v>
      </c>
      <c r="J531" s="139"/>
      <c r="K531" s="140">
        <f>K532</f>
        <v>0</v>
      </c>
      <c r="L531" s="140"/>
      <c r="M531" s="230">
        <f>M532</f>
        <v>0</v>
      </c>
      <c r="N531" s="49"/>
      <c r="O531" s="355"/>
      <c r="P531" s="353"/>
      <c r="Q531" s="353"/>
      <c r="R531" s="350" t="e">
        <f t="shared" si="49"/>
        <v>#DIV/0!</v>
      </c>
    </row>
    <row r="532" spans="1:18" ht="33.75" hidden="1" customHeight="1" x14ac:dyDescent="0.35">
      <c r="A532" s="4"/>
      <c r="B532" s="17"/>
      <c r="C532" s="17"/>
      <c r="D532" s="17"/>
      <c r="E532" s="17"/>
      <c r="F532" s="18"/>
      <c r="G532" s="137" t="s">
        <v>2</v>
      </c>
      <c r="H532" s="137"/>
      <c r="I532" s="138"/>
      <c r="J532" s="139">
        <v>200</v>
      </c>
      <c r="K532" s="140">
        <v>0</v>
      </c>
      <c r="L532" s="140"/>
      <c r="M532" s="230">
        <v>0</v>
      </c>
      <c r="N532" s="49"/>
      <c r="O532" s="355"/>
      <c r="P532" s="353"/>
      <c r="Q532" s="353"/>
      <c r="R532" s="350" t="e">
        <f t="shared" si="49"/>
        <v>#DIV/0!</v>
      </c>
    </row>
    <row r="533" spans="1:18" ht="36.75" hidden="1" customHeight="1" x14ac:dyDescent="0.35">
      <c r="A533" s="4"/>
      <c r="B533" s="17"/>
      <c r="C533" s="17"/>
      <c r="D533" s="17"/>
      <c r="E533" s="17"/>
      <c r="F533" s="18"/>
      <c r="G533" s="108" t="s">
        <v>492</v>
      </c>
      <c r="H533" s="108"/>
      <c r="I533" s="60" t="s">
        <v>318</v>
      </c>
      <c r="J533" s="109"/>
      <c r="K533" s="110">
        <f t="shared" ref="K533:M534" si="51">K534</f>
        <v>0</v>
      </c>
      <c r="L533" s="110">
        <f t="shared" si="51"/>
        <v>0</v>
      </c>
      <c r="M533" s="222">
        <f t="shared" si="51"/>
        <v>24000</v>
      </c>
      <c r="N533" s="110"/>
      <c r="O533" s="355"/>
      <c r="P533" s="353"/>
      <c r="Q533" s="353"/>
      <c r="R533" s="350" t="e">
        <f t="shared" si="49"/>
        <v>#DIV/0!</v>
      </c>
    </row>
    <row r="534" spans="1:18" ht="46.5" hidden="1" x14ac:dyDescent="0.35">
      <c r="A534" s="4"/>
      <c r="B534" s="17"/>
      <c r="C534" s="17"/>
      <c r="D534" s="17"/>
      <c r="E534" s="17"/>
      <c r="F534" s="18"/>
      <c r="G534" s="111" t="s">
        <v>493</v>
      </c>
      <c r="H534" s="111"/>
      <c r="I534" s="47" t="s">
        <v>319</v>
      </c>
      <c r="J534" s="112"/>
      <c r="K534" s="113">
        <f t="shared" si="51"/>
        <v>0</v>
      </c>
      <c r="L534" s="113">
        <f t="shared" si="51"/>
        <v>0</v>
      </c>
      <c r="M534" s="223">
        <f t="shared" si="51"/>
        <v>24000</v>
      </c>
      <c r="N534" s="113"/>
      <c r="O534" s="355"/>
      <c r="P534" s="353"/>
      <c r="Q534" s="353"/>
      <c r="R534" s="350" t="e">
        <f t="shared" si="49"/>
        <v>#DIV/0!</v>
      </c>
    </row>
    <row r="535" spans="1:18" ht="53.25" hidden="1" customHeight="1" x14ac:dyDescent="0.35">
      <c r="A535" s="39"/>
      <c r="B535" s="17"/>
      <c r="C535" s="17"/>
      <c r="D535" s="17"/>
      <c r="E535" s="17"/>
      <c r="F535" s="18"/>
      <c r="G535" s="114" t="s">
        <v>430</v>
      </c>
      <c r="H535" s="114"/>
      <c r="I535" s="64" t="s">
        <v>320</v>
      </c>
      <c r="J535" s="112"/>
      <c r="K535" s="113">
        <f>K536+K538</f>
        <v>0</v>
      </c>
      <c r="L535" s="113">
        <f>L536+L538</f>
        <v>0</v>
      </c>
      <c r="M535" s="223">
        <f>M536+M538</f>
        <v>24000</v>
      </c>
      <c r="N535" s="113"/>
      <c r="O535" s="355"/>
      <c r="P535" s="353"/>
      <c r="Q535" s="353"/>
      <c r="R535" s="350" t="e">
        <f t="shared" si="49"/>
        <v>#DIV/0!</v>
      </c>
    </row>
    <row r="536" spans="1:18" ht="53.25" hidden="1" customHeight="1" x14ac:dyDescent="0.35">
      <c r="A536" s="39"/>
      <c r="B536" s="17"/>
      <c r="C536" s="17"/>
      <c r="D536" s="17"/>
      <c r="E536" s="17"/>
      <c r="F536" s="18"/>
      <c r="G536" s="111" t="s">
        <v>494</v>
      </c>
      <c r="H536" s="111"/>
      <c r="I536" s="47" t="s">
        <v>321</v>
      </c>
      <c r="J536" s="112"/>
      <c r="K536" s="113">
        <f>K537</f>
        <v>0</v>
      </c>
      <c r="L536" s="113"/>
      <c r="M536" s="223">
        <f>M537</f>
        <v>24000</v>
      </c>
      <c r="N536" s="113"/>
      <c r="O536" s="355"/>
      <c r="P536" s="353"/>
      <c r="Q536" s="353"/>
      <c r="R536" s="350" t="e">
        <f t="shared" si="49"/>
        <v>#DIV/0!</v>
      </c>
    </row>
    <row r="537" spans="1:18" ht="24.75" hidden="1" customHeight="1" x14ac:dyDescent="0.35">
      <c r="A537" s="39"/>
      <c r="B537" s="17"/>
      <c r="C537" s="17"/>
      <c r="D537" s="17"/>
      <c r="E537" s="17"/>
      <c r="F537" s="18"/>
      <c r="G537" s="111" t="s">
        <v>1</v>
      </c>
      <c r="H537" s="111"/>
      <c r="I537" s="112"/>
      <c r="J537" s="112">
        <v>800</v>
      </c>
      <c r="K537" s="113"/>
      <c r="L537" s="113"/>
      <c r="M537" s="223">
        <v>24000</v>
      </c>
      <c r="N537" s="113"/>
      <c r="O537" s="355"/>
      <c r="P537" s="353"/>
      <c r="Q537" s="353"/>
      <c r="R537" s="350" t="e">
        <f t="shared" si="49"/>
        <v>#DIV/0!</v>
      </c>
    </row>
    <row r="538" spans="1:18" ht="64.400000000000006" hidden="1" customHeight="1" x14ac:dyDescent="0.35">
      <c r="A538" s="39"/>
      <c r="B538" s="17"/>
      <c r="C538" s="17"/>
      <c r="D538" s="17"/>
      <c r="E538" s="17"/>
      <c r="F538" s="18"/>
      <c r="G538" s="187" t="s">
        <v>460</v>
      </c>
      <c r="H538" s="187"/>
      <c r="I538" s="47" t="s">
        <v>461</v>
      </c>
      <c r="J538" s="188"/>
      <c r="K538" s="189">
        <f>K539</f>
        <v>0</v>
      </c>
      <c r="L538" s="189">
        <f>L539</f>
        <v>0</v>
      </c>
      <c r="M538" s="231">
        <f>M539</f>
        <v>0</v>
      </c>
      <c r="N538" s="113"/>
      <c r="O538" s="355"/>
      <c r="P538" s="353"/>
      <c r="Q538" s="353"/>
      <c r="R538" s="350" t="e">
        <f t="shared" si="49"/>
        <v>#DIV/0!</v>
      </c>
    </row>
    <row r="539" spans="1:18" ht="24.75" hidden="1" customHeight="1" x14ac:dyDescent="0.35">
      <c r="A539" s="39"/>
      <c r="B539" s="17"/>
      <c r="C539" s="17"/>
      <c r="D539" s="17"/>
      <c r="E539" s="17"/>
      <c r="F539" s="18"/>
      <c r="G539" s="187" t="s">
        <v>1</v>
      </c>
      <c r="H539" s="187"/>
      <c r="I539" s="112"/>
      <c r="J539" s="188">
        <v>800</v>
      </c>
      <c r="K539" s="189"/>
      <c r="L539" s="189"/>
      <c r="M539" s="231">
        <f>K539+L539</f>
        <v>0</v>
      </c>
      <c r="N539" s="113"/>
      <c r="O539" s="355"/>
      <c r="P539" s="353"/>
      <c r="Q539" s="353"/>
      <c r="R539" s="350" t="e">
        <f t="shared" si="49"/>
        <v>#DIV/0!</v>
      </c>
    </row>
    <row r="540" spans="1:18" ht="69" customHeight="1" x14ac:dyDescent="0.35">
      <c r="A540" s="39"/>
      <c r="B540" s="243"/>
      <c r="C540" s="243"/>
      <c r="D540" s="243"/>
      <c r="E540" s="243"/>
      <c r="F540" s="244"/>
      <c r="G540" s="108" t="s">
        <v>699</v>
      </c>
      <c r="H540" s="187"/>
      <c r="I540" s="60" t="s">
        <v>692</v>
      </c>
      <c r="J540" s="109"/>
      <c r="K540" s="189"/>
      <c r="L540" s="189"/>
      <c r="M540" s="231"/>
      <c r="N540" s="113"/>
      <c r="O540" s="354">
        <f t="shared" ref="O540:Q541" si="52">O541</f>
        <v>5769851</v>
      </c>
      <c r="P540" s="352"/>
      <c r="Q540" s="353">
        <f t="shared" si="52"/>
        <v>5692277.8300000001</v>
      </c>
      <c r="R540" s="350">
        <f t="shared" si="49"/>
        <v>98.6555429247653</v>
      </c>
    </row>
    <row r="541" spans="1:18" ht="78.5" customHeight="1" x14ac:dyDescent="0.35">
      <c r="A541" s="39"/>
      <c r="B541" s="243"/>
      <c r="C541" s="243"/>
      <c r="D541" s="243"/>
      <c r="E541" s="243"/>
      <c r="F541" s="244"/>
      <c r="G541" s="111" t="s">
        <v>698</v>
      </c>
      <c r="H541" s="187"/>
      <c r="I541" s="47" t="s">
        <v>693</v>
      </c>
      <c r="J541" s="112"/>
      <c r="K541" s="189"/>
      <c r="L541" s="189"/>
      <c r="M541" s="231"/>
      <c r="N541" s="113"/>
      <c r="O541" s="355">
        <f t="shared" si="52"/>
        <v>5769851</v>
      </c>
      <c r="P541" s="353"/>
      <c r="Q541" s="353">
        <f t="shared" si="52"/>
        <v>5692277.8300000001</v>
      </c>
      <c r="R541" s="350">
        <f t="shared" si="49"/>
        <v>98.6555429247653</v>
      </c>
    </row>
    <row r="542" spans="1:18" ht="33" customHeight="1" x14ac:dyDescent="0.35">
      <c r="A542" s="39"/>
      <c r="B542" s="243"/>
      <c r="C542" s="243"/>
      <c r="D542" s="243"/>
      <c r="E542" s="243"/>
      <c r="F542" s="244"/>
      <c r="G542" s="114" t="s">
        <v>697</v>
      </c>
      <c r="H542" s="187"/>
      <c r="I542" s="64" t="s">
        <v>694</v>
      </c>
      <c r="J542" s="112"/>
      <c r="K542" s="189"/>
      <c r="L542" s="189"/>
      <c r="M542" s="231"/>
      <c r="N542" s="113"/>
      <c r="O542" s="355">
        <f>O543+O545+O554</f>
        <v>5769851</v>
      </c>
      <c r="P542" s="353"/>
      <c r="Q542" s="353">
        <f>Q543+Q545+Q554</f>
        <v>5692277.8300000001</v>
      </c>
      <c r="R542" s="350">
        <f t="shared" si="49"/>
        <v>98.6555429247653</v>
      </c>
    </row>
    <row r="543" spans="1:18" ht="97.5" customHeight="1" x14ac:dyDescent="0.35">
      <c r="A543" s="39"/>
      <c r="B543" s="243"/>
      <c r="C543" s="243"/>
      <c r="D543" s="243"/>
      <c r="E543" s="243"/>
      <c r="F543" s="244"/>
      <c r="G543" s="111" t="s">
        <v>696</v>
      </c>
      <c r="H543" s="187"/>
      <c r="I543" s="47" t="s">
        <v>695</v>
      </c>
      <c r="J543" s="112"/>
      <c r="K543" s="189"/>
      <c r="L543" s="189"/>
      <c r="M543" s="231"/>
      <c r="N543" s="113"/>
      <c r="O543" s="355">
        <f>O544</f>
        <v>4197324</v>
      </c>
      <c r="P543" s="353"/>
      <c r="Q543" s="353">
        <f>Q544</f>
        <v>4197279.82</v>
      </c>
      <c r="R543" s="350">
        <f t="shared" si="49"/>
        <v>99.998947424597205</v>
      </c>
    </row>
    <row r="544" spans="1:18" ht="18" customHeight="1" x14ac:dyDescent="0.35">
      <c r="A544" s="39"/>
      <c r="B544" s="243"/>
      <c r="C544" s="243"/>
      <c r="D544" s="243"/>
      <c r="E544" s="243"/>
      <c r="F544" s="244"/>
      <c r="G544" s="111" t="s">
        <v>1</v>
      </c>
      <c r="H544" s="187"/>
      <c r="I544" s="112"/>
      <c r="J544" s="112">
        <v>800</v>
      </c>
      <c r="K544" s="189"/>
      <c r="L544" s="189"/>
      <c r="M544" s="231"/>
      <c r="N544" s="113"/>
      <c r="O544" s="353">
        <f>528924+500000+3168400</f>
        <v>4197324</v>
      </c>
      <c r="P544" s="353"/>
      <c r="Q544" s="353">
        <v>4197279.82</v>
      </c>
      <c r="R544" s="350">
        <f t="shared" si="49"/>
        <v>99.998947424597205</v>
      </c>
    </row>
    <row r="545" spans="1:18" ht="30" hidden="1" customHeight="1" x14ac:dyDescent="0.35">
      <c r="A545" s="39"/>
      <c r="B545" s="243"/>
      <c r="C545" s="243"/>
      <c r="D545" s="243"/>
      <c r="E545" s="243"/>
      <c r="F545" s="244"/>
      <c r="G545" s="133" t="s">
        <v>460</v>
      </c>
      <c r="H545" s="187"/>
      <c r="I545" s="47" t="s">
        <v>461</v>
      </c>
      <c r="J545" s="188"/>
      <c r="K545" s="189"/>
      <c r="L545" s="189"/>
      <c r="M545" s="231"/>
      <c r="N545" s="113"/>
      <c r="O545" s="355">
        <f>O546</f>
        <v>0</v>
      </c>
      <c r="P545" s="353"/>
      <c r="Q545" s="353"/>
      <c r="R545" s="350" t="e">
        <f t="shared" si="49"/>
        <v>#DIV/0!</v>
      </c>
    </row>
    <row r="546" spans="1:18" ht="1.1499999999999999" hidden="1" customHeight="1" x14ac:dyDescent="0.35">
      <c r="A546" s="39"/>
      <c r="B546" s="243"/>
      <c r="C546" s="243"/>
      <c r="D546" s="243"/>
      <c r="E546" s="243"/>
      <c r="F546" s="244"/>
      <c r="G546" s="111" t="s">
        <v>1</v>
      </c>
      <c r="H546" s="187"/>
      <c r="I546" s="112"/>
      <c r="J546" s="188">
        <v>800</v>
      </c>
      <c r="K546" s="189"/>
      <c r="L546" s="189"/>
      <c r="M546" s="231"/>
      <c r="N546" s="113"/>
      <c r="O546" s="355"/>
      <c r="P546" s="353"/>
      <c r="Q546" s="353"/>
      <c r="R546" s="350" t="e">
        <f t="shared" si="49"/>
        <v>#DIV/0!</v>
      </c>
    </row>
    <row r="547" spans="1:18" ht="30" hidden="1" x14ac:dyDescent="0.35">
      <c r="A547" s="39"/>
      <c r="B547" s="283"/>
      <c r="C547" s="283"/>
      <c r="D547" s="283"/>
      <c r="E547" s="283"/>
      <c r="F547" s="284"/>
      <c r="G547" s="290" t="s">
        <v>612</v>
      </c>
      <c r="H547" s="187"/>
      <c r="I547" s="287" t="s">
        <v>318</v>
      </c>
      <c r="J547" s="188"/>
      <c r="K547" s="189"/>
      <c r="L547" s="189"/>
      <c r="M547" s="231"/>
      <c r="N547" s="113"/>
      <c r="O547" s="355">
        <f>O548</f>
        <v>0</v>
      </c>
      <c r="P547" s="353"/>
      <c r="Q547" s="353"/>
      <c r="R547" s="350" t="e">
        <f t="shared" si="49"/>
        <v>#DIV/0!</v>
      </c>
    </row>
    <row r="548" spans="1:18" ht="46.5" hidden="1" x14ac:dyDescent="0.35">
      <c r="A548" s="39"/>
      <c r="B548" s="283"/>
      <c r="C548" s="283"/>
      <c r="D548" s="283"/>
      <c r="E548" s="283"/>
      <c r="F548" s="284"/>
      <c r="G548" s="288" t="s">
        <v>611</v>
      </c>
      <c r="H548" s="187"/>
      <c r="I548" s="287" t="s">
        <v>319</v>
      </c>
      <c r="J548" s="188"/>
      <c r="K548" s="189"/>
      <c r="L548" s="189"/>
      <c r="M548" s="231"/>
      <c r="N548" s="113"/>
      <c r="O548" s="355">
        <f>O549</f>
        <v>0</v>
      </c>
      <c r="P548" s="353"/>
      <c r="Q548" s="353"/>
      <c r="R548" s="350" t="e">
        <f t="shared" si="49"/>
        <v>#DIV/0!</v>
      </c>
    </row>
    <row r="549" spans="1:18" ht="46.5" hidden="1" x14ac:dyDescent="0.35">
      <c r="A549" s="39"/>
      <c r="B549" s="283"/>
      <c r="C549" s="283"/>
      <c r="D549" s="283"/>
      <c r="E549" s="283"/>
      <c r="F549" s="284"/>
      <c r="G549" s="289" t="s">
        <v>430</v>
      </c>
      <c r="H549" s="187"/>
      <c r="I549" s="203" t="s">
        <v>320</v>
      </c>
      <c r="J549" s="188"/>
      <c r="K549" s="189"/>
      <c r="L549" s="189"/>
      <c r="M549" s="231"/>
      <c r="N549" s="113"/>
      <c r="O549" s="355">
        <f>O550+O552</f>
        <v>0</v>
      </c>
      <c r="P549" s="353"/>
      <c r="Q549" s="353"/>
      <c r="R549" s="350" t="e">
        <f t="shared" si="49"/>
        <v>#DIV/0!</v>
      </c>
    </row>
    <row r="550" spans="1:18" ht="62" hidden="1" x14ac:dyDescent="0.35">
      <c r="A550" s="39"/>
      <c r="B550" s="283"/>
      <c r="C550" s="283"/>
      <c r="D550" s="283"/>
      <c r="E550" s="283"/>
      <c r="F550" s="284"/>
      <c r="G550" s="288" t="s">
        <v>610</v>
      </c>
      <c r="H550" s="187"/>
      <c r="I550" s="3" t="s">
        <v>549</v>
      </c>
      <c r="J550" s="188"/>
      <c r="K550" s="189"/>
      <c r="L550" s="189"/>
      <c r="M550" s="231"/>
      <c r="N550" s="113"/>
      <c r="O550" s="355">
        <f>O551</f>
        <v>0</v>
      </c>
      <c r="P550" s="353"/>
      <c r="Q550" s="353"/>
      <c r="R550" s="350" t="e">
        <f t="shared" si="49"/>
        <v>#DIV/0!</v>
      </c>
    </row>
    <row r="551" spans="1:18" hidden="1" x14ac:dyDescent="0.35">
      <c r="A551" s="39"/>
      <c r="B551" s="283"/>
      <c r="C551" s="283"/>
      <c r="D551" s="283"/>
      <c r="E551" s="283"/>
      <c r="F551" s="284"/>
      <c r="G551" s="14" t="s">
        <v>1</v>
      </c>
      <c r="H551" s="187"/>
      <c r="I551" s="112"/>
      <c r="J551" s="188">
        <v>800</v>
      </c>
      <c r="K551" s="189"/>
      <c r="L551" s="189"/>
      <c r="M551" s="231"/>
      <c r="N551" s="113"/>
      <c r="O551" s="355"/>
      <c r="P551" s="353"/>
      <c r="Q551" s="353"/>
      <c r="R551" s="350" t="e">
        <f t="shared" si="49"/>
        <v>#DIV/0!</v>
      </c>
    </row>
    <row r="552" spans="1:18" ht="62" hidden="1" x14ac:dyDescent="0.35">
      <c r="A552" s="39"/>
      <c r="B552" s="283"/>
      <c r="C552" s="283"/>
      <c r="D552" s="283"/>
      <c r="E552" s="283"/>
      <c r="F552" s="284"/>
      <c r="G552" s="288" t="s">
        <v>460</v>
      </c>
      <c r="H552" s="187"/>
      <c r="I552" s="3" t="s">
        <v>461</v>
      </c>
      <c r="J552" s="188"/>
      <c r="K552" s="189"/>
      <c r="L552" s="189"/>
      <c r="M552" s="231"/>
      <c r="N552" s="113"/>
      <c r="O552" s="355">
        <f>O553</f>
        <v>0</v>
      </c>
      <c r="P552" s="353"/>
      <c r="Q552" s="353"/>
      <c r="R552" s="350" t="e">
        <f t="shared" si="49"/>
        <v>#DIV/0!</v>
      </c>
    </row>
    <row r="553" spans="1:18" hidden="1" x14ac:dyDescent="0.35">
      <c r="A553" s="39"/>
      <c r="B553" s="283"/>
      <c r="C553" s="283"/>
      <c r="D553" s="283"/>
      <c r="E553" s="283"/>
      <c r="F553" s="284"/>
      <c r="G553" s="14" t="s">
        <v>1</v>
      </c>
      <c r="H553" s="187"/>
      <c r="I553" s="112"/>
      <c r="J553" s="188">
        <v>800</v>
      </c>
      <c r="K553" s="189"/>
      <c r="L553" s="189"/>
      <c r="M553" s="231"/>
      <c r="N553" s="113"/>
      <c r="O553" s="355"/>
      <c r="P553" s="353"/>
      <c r="Q553" s="353"/>
      <c r="R553" s="350" t="e">
        <f t="shared" si="49"/>
        <v>#DIV/0!</v>
      </c>
    </row>
    <row r="554" spans="1:18" ht="46.5" x14ac:dyDescent="0.35">
      <c r="A554" s="39"/>
      <c r="B554" s="330"/>
      <c r="C554" s="330"/>
      <c r="D554" s="330"/>
      <c r="E554" s="330"/>
      <c r="F554" s="331"/>
      <c r="G554" s="51" t="s">
        <v>720</v>
      </c>
      <c r="H554" s="187"/>
      <c r="I554" s="47" t="s">
        <v>719</v>
      </c>
      <c r="J554" s="188"/>
      <c r="K554" s="189"/>
      <c r="L554" s="189"/>
      <c r="M554" s="231"/>
      <c r="N554" s="113"/>
      <c r="O554" s="355">
        <f>O555</f>
        <v>1572527</v>
      </c>
      <c r="P554" s="353"/>
      <c r="Q554" s="353">
        <f>Q555</f>
        <v>1494998.01</v>
      </c>
      <c r="R554" s="350">
        <f t="shared" si="49"/>
        <v>95.069783221528155</v>
      </c>
    </row>
    <row r="555" spans="1:18" x14ac:dyDescent="0.35">
      <c r="A555" s="39"/>
      <c r="B555" s="330"/>
      <c r="C555" s="330"/>
      <c r="D555" s="330"/>
      <c r="E555" s="330"/>
      <c r="F555" s="331"/>
      <c r="G555" s="51" t="s">
        <v>6</v>
      </c>
      <c r="H555" s="187"/>
      <c r="I555" s="112"/>
      <c r="J555" s="188">
        <v>500</v>
      </c>
      <c r="K555" s="189"/>
      <c r="L555" s="189"/>
      <c r="M555" s="231"/>
      <c r="N555" s="113"/>
      <c r="O555" s="353">
        <f>1072527+500000</f>
        <v>1572527</v>
      </c>
      <c r="P555" s="353"/>
      <c r="Q555" s="353">
        <v>1494998.01</v>
      </c>
      <c r="R555" s="350">
        <f t="shared" si="49"/>
        <v>95.069783221528155</v>
      </c>
    </row>
    <row r="556" spans="1:18" ht="68.5" customHeight="1" x14ac:dyDescent="0.35">
      <c r="A556" s="39"/>
      <c r="B556" s="17"/>
      <c r="C556" s="17"/>
      <c r="D556" s="17"/>
      <c r="E556" s="17"/>
      <c r="F556" s="18"/>
      <c r="G556" s="290" t="s">
        <v>663</v>
      </c>
      <c r="H556" s="187"/>
      <c r="I556" s="60" t="s">
        <v>480</v>
      </c>
      <c r="J556" s="188"/>
      <c r="K556" s="199">
        <f>K557</f>
        <v>13139527</v>
      </c>
      <c r="L556" s="189"/>
      <c r="M556" s="231"/>
      <c r="N556" s="113">
        <f>N557</f>
        <v>0</v>
      </c>
      <c r="O556" s="354">
        <f>O557</f>
        <v>17497857</v>
      </c>
      <c r="P556" s="352"/>
      <c r="Q556" s="352">
        <f>Q557</f>
        <v>15685612.51</v>
      </c>
      <c r="R556" s="350">
        <f t="shared" si="49"/>
        <v>89.64304891736171</v>
      </c>
    </row>
    <row r="557" spans="1:18" ht="77.5" x14ac:dyDescent="0.35">
      <c r="A557" s="39"/>
      <c r="B557" s="17"/>
      <c r="C557" s="17"/>
      <c r="D557" s="17"/>
      <c r="E557" s="17"/>
      <c r="F557" s="18"/>
      <c r="G557" s="288" t="s">
        <v>664</v>
      </c>
      <c r="H557" s="187"/>
      <c r="I557" s="47" t="s">
        <v>481</v>
      </c>
      <c r="J557" s="188"/>
      <c r="K557" s="189">
        <f>K558+K564</f>
        <v>13139527</v>
      </c>
      <c r="L557" s="189"/>
      <c r="M557" s="231"/>
      <c r="N557" s="113">
        <f>N558+N564</f>
        <v>0</v>
      </c>
      <c r="O557" s="355">
        <f>O558+O571+O576</f>
        <v>17497857</v>
      </c>
      <c r="P557" s="353"/>
      <c r="Q557" s="353">
        <f>Q558+Q571+Q576</f>
        <v>15685612.51</v>
      </c>
      <c r="R557" s="350">
        <f t="shared" si="49"/>
        <v>89.64304891736171</v>
      </c>
    </row>
    <row r="558" spans="1:18" ht="46.5" x14ac:dyDescent="0.35">
      <c r="A558" s="39"/>
      <c r="B558" s="17"/>
      <c r="C558" s="17"/>
      <c r="D558" s="17"/>
      <c r="E558" s="17"/>
      <c r="F558" s="18"/>
      <c r="G558" s="198" t="s">
        <v>491</v>
      </c>
      <c r="H558" s="187"/>
      <c r="I558" s="64" t="s">
        <v>482</v>
      </c>
      <c r="J558" s="188"/>
      <c r="K558" s="189">
        <f>K562+K559</f>
        <v>9530527</v>
      </c>
      <c r="L558" s="189"/>
      <c r="M558" s="231"/>
      <c r="N558" s="113">
        <f>N562+N559</f>
        <v>0</v>
      </c>
      <c r="O558" s="359">
        <f>O562+O559</f>
        <v>129397</v>
      </c>
      <c r="P558" s="358"/>
      <c r="Q558" s="358">
        <f>Q562+Q559</f>
        <v>129396.24</v>
      </c>
      <c r="R558" s="350">
        <f t="shared" si="49"/>
        <v>99.999412660262607</v>
      </c>
    </row>
    <row r="559" spans="1:18" ht="37" customHeight="1" x14ac:dyDescent="0.35">
      <c r="A559" s="39"/>
      <c r="B559" s="17"/>
      <c r="C559" s="17"/>
      <c r="D559" s="17"/>
      <c r="E559" s="17"/>
      <c r="F559" s="18"/>
      <c r="G559" s="51" t="s">
        <v>488</v>
      </c>
      <c r="H559" s="187"/>
      <c r="I559" s="47" t="s">
        <v>489</v>
      </c>
      <c r="J559" s="188"/>
      <c r="K559" s="189">
        <f>K560+K561</f>
        <v>2376527</v>
      </c>
      <c r="L559" s="189"/>
      <c r="M559" s="231"/>
      <c r="N559" s="113">
        <f>N560+N561</f>
        <v>0</v>
      </c>
      <c r="O559" s="355">
        <f>O560+O561</f>
        <v>129397</v>
      </c>
      <c r="P559" s="353"/>
      <c r="Q559" s="353">
        <f>Q560+Q561</f>
        <v>129396.24</v>
      </c>
      <c r="R559" s="350">
        <f t="shared" si="49"/>
        <v>99.999412660262607</v>
      </c>
    </row>
    <row r="560" spans="1:18" ht="46.5" x14ac:dyDescent="0.35">
      <c r="A560" s="39"/>
      <c r="B560" s="17"/>
      <c r="C560" s="17"/>
      <c r="D560" s="17"/>
      <c r="E560" s="17"/>
      <c r="F560" s="18"/>
      <c r="G560" s="51" t="s">
        <v>10</v>
      </c>
      <c r="H560" s="187"/>
      <c r="I560" s="64"/>
      <c r="J560" s="188">
        <v>400</v>
      </c>
      <c r="K560" s="189">
        <v>376527</v>
      </c>
      <c r="L560" s="189"/>
      <c r="M560" s="231"/>
      <c r="N560" s="113"/>
      <c r="O560" s="353">
        <v>129397</v>
      </c>
      <c r="P560" s="353"/>
      <c r="Q560" s="353">
        <v>129396.24</v>
      </c>
      <c r="R560" s="350">
        <f t="shared" si="49"/>
        <v>99.999412660262607</v>
      </c>
    </row>
    <row r="561" spans="1:18" hidden="1" x14ac:dyDescent="0.35">
      <c r="A561" s="39"/>
      <c r="B561" s="213"/>
      <c r="C561" s="213"/>
      <c r="D561" s="213"/>
      <c r="E561" s="213"/>
      <c r="F561" s="214"/>
      <c r="G561" s="51" t="s">
        <v>1</v>
      </c>
      <c r="H561" s="187"/>
      <c r="I561" s="64"/>
      <c r="J561" s="188">
        <v>800</v>
      </c>
      <c r="K561" s="189">
        <v>2000000</v>
      </c>
      <c r="L561" s="189"/>
      <c r="M561" s="231"/>
      <c r="N561" s="113"/>
      <c r="O561" s="355">
        <v>0</v>
      </c>
      <c r="P561" s="353"/>
      <c r="Q561" s="353"/>
      <c r="R561" s="350" t="e">
        <f t="shared" si="49"/>
        <v>#DIV/0!</v>
      </c>
    </row>
    <row r="562" spans="1:18" ht="31" hidden="1" x14ac:dyDescent="0.35">
      <c r="A562" s="39"/>
      <c r="B562" s="17"/>
      <c r="C562" s="17"/>
      <c r="D562" s="17"/>
      <c r="E562" s="17"/>
      <c r="F562" s="18"/>
      <c r="G562" s="187" t="s">
        <v>490</v>
      </c>
      <c r="H562" s="187"/>
      <c r="I562" s="47" t="s">
        <v>483</v>
      </c>
      <c r="J562" s="188"/>
      <c r="K562" s="189">
        <f>K563</f>
        <v>7154000</v>
      </c>
      <c r="L562" s="189"/>
      <c r="M562" s="231"/>
      <c r="N562" s="113">
        <f>N563</f>
        <v>0</v>
      </c>
      <c r="O562" s="355">
        <f>O563</f>
        <v>0</v>
      </c>
      <c r="P562" s="353"/>
      <c r="Q562" s="353"/>
      <c r="R562" s="350" t="e">
        <f t="shared" si="49"/>
        <v>#DIV/0!</v>
      </c>
    </row>
    <row r="563" spans="1:18" ht="31" hidden="1" x14ac:dyDescent="0.35">
      <c r="A563" s="39"/>
      <c r="B563" s="17"/>
      <c r="C563" s="17"/>
      <c r="D563" s="17"/>
      <c r="E563" s="17"/>
      <c r="F563" s="18"/>
      <c r="G563" s="51" t="s">
        <v>10</v>
      </c>
      <c r="H563" s="187"/>
      <c r="I563" s="112"/>
      <c r="J563" s="188">
        <v>400</v>
      </c>
      <c r="K563" s="189">
        <v>7154000</v>
      </c>
      <c r="L563" s="189"/>
      <c r="M563" s="231"/>
      <c r="N563" s="113"/>
      <c r="O563" s="355"/>
      <c r="P563" s="353"/>
      <c r="Q563" s="353"/>
      <c r="R563" s="350" t="e">
        <f t="shared" si="49"/>
        <v>#DIV/0!</v>
      </c>
    </row>
    <row r="564" spans="1:18" ht="31" hidden="1" x14ac:dyDescent="0.35">
      <c r="A564" s="39"/>
      <c r="B564" s="213"/>
      <c r="C564" s="213"/>
      <c r="D564" s="213"/>
      <c r="E564" s="213"/>
      <c r="F564" s="214"/>
      <c r="G564" s="253" t="s">
        <v>388</v>
      </c>
      <c r="H564" s="111"/>
      <c r="I564" s="64" t="s">
        <v>519</v>
      </c>
      <c r="J564" s="188"/>
      <c r="K564" s="189">
        <f>K567+K569</f>
        <v>3609000</v>
      </c>
      <c r="L564" s="189"/>
      <c r="M564" s="231"/>
      <c r="N564" s="113">
        <f>N567+N569</f>
        <v>0</v>
      </c>
      <c r="O564" s="355">
        <f>O567+O569+O565</f>
        <v>0</v>
      </c>
      <c r="P564" s="353"/>
      <c r="Q564" s="353"/>
      <c r="R564" s="350" t="e">
        <f t="shared" si="49"/>
        <v>#DIV/0!</v>
      </c>
    </row>
    <row r="565" spans="1:18" ht="31" hidden="1" x14ac:dyDescent="0.35">
      <c r="A565" s="39"/>
      <c r="B565" s="251"/>
      <c r="C565" s="251"/>
      <c r="D565" s="251"/>
      <c r="E565" s="251"/>
      <c r="F565" s="252"/>
      <c r="G565" s="254" t="s">
        <v>559</v>
      </c>
      <c r="H565" s="187"/>
      <c r="I565" s="47" t="s">
        <v>558</v>
      </c>
      <c r="J565" s="188"/>
      <c r="K565" s="189"/>
      <c r="L565" s="189"/>
      <c r="M565" s="231"/>
      <c r="N565" s="113"/>
      <c r="O565" s="355">
        <f>O566</f>
        <v>0</v>
      </c>
      <c r="P565" s="353"/>
      <c r="Q565" s="353"/>
      <c r="R565" s="350" t="e">
        <f t="shared" si="49"/>
        <v>#DIV/0!</v>
      </c>
    </row>
    <row r="566" spans="1:18" ht="31" hidden="1" x14ac:dyDescent="0.35">
      <c r="A566" s="39"/>
      <c r="B566" s="251"/>
      <c r="C566" s="251"/>
      <c r="D566" s="251"/>
      <c r="E566" s="251"/>
      <c r="F566" s="252"/>
      <c r="G566" s="51" t="s">
        <v>10</v>
      </c>
      <c r="H566" s="187"/>
      <c r="I566" s="64"/>
      <c r="J566" s="188">
        <v>400</v>
      </c>
      <c r="K566" s="189"/>
      <c r="L566" s="189"/>
      <c r="M566" s="231"/>
      <c r="N566" s="113"/>
      <c r="O566" s="355"/>
      <c r="P566" s="353"/>
      <c r="Q566" s="353"/>
      <c r="R566" s="350" t="e">
        <f t="shared" si="49"/>
        <v>#DIV/0!</v>
      </c>
    </row>
    <row r="567" spans="1:18" ht="31" hidden="1" x14ac:dyDescent="0.35">
      <c r="A567" s="39"/>
      <c r="B567" s="213"/>
      <c r="C567" s="213"/>
      <c r="D567" s="213"/>
      <c r="E567" s="213"/>
      <c r="F567" s="214"/>
      <c r="G567" s="51" t="s">
        <v>523</v>
      </c>
      <c r="H567" s="187"/>
      <c r="I567" s="47" t="s">
        <v>520</v>
      </c>
      <c r="J567" s="188"/>
      <c r="K567" s="189">
        <f>K568</f>
        <v>181000</v>
      </c>
      <c r="L567" s="189"/>
      <c r="M567" s="231"/>
      <c r="N567" s="113">
        <f>N568</f>
        <v>0</v>
      </c>
      <c r="O567" s="355">
        <f>O568</f>
        <v>0</v>
      </c>
      <c r="P567" s="353"/>
      <c r="Q567" s="353"/>
      <c r="R567" s="350" t="e">
        <f t="shared" ref="R567:R630" si="53">Q567/O567*100</f>
        <v>#DIV/0!</v>
      </c>
    </row>
    <row r="568" spans="1:18" ht="31" hidden="1" x14ac:dyDescent="0.35">
      <c r="A568" s="39"/>
      <c r="B568" s="213"/>
      <c r="C568" s="213"/>
      <c r="D568" s="213"/>
      <c r="E568" s="213"/>
      <c r="F568" s="214"/>
      <c r="G568" s="51" t="s">
        <v>10</v>
      </c>
      <c r="H568" s="187"/>
      <c r="I568" s="112"/>
      <c r="J568" s="188">
        <v>400</v>
      </c>
      <c r="K568" s="189">
        <v>181000</v>
      </c>
      <c r="L568" s="189"/>
      <c r="M568" s="231"/>
      <c r="N568" s="113"/>
      <c r="O568" s="355"/>
      <c r="P568" s="353"/>
      <c r="Q568" s="353"/>
      <c r="R568" s="350" t="e">
        <f t="shared" si="53"/>
        <v>#DIV/0!</v>
      </c>
    </row>
    <row r="569" spans="1:18" ht="31" hidden="1" x14ac:dyDescent="0.35">
      <c r="A569" s="39"/>
      <c r="B569" s="213"/>
      <c r="C569" s="213"/>
      <c r="D569" s="213"/>
      <c r="E569" s="213"/>
      <c r="F569" s="214"/>
      <c r="G569" s="133" t="s">
        <v>522</v>
      </c>
      <c r="H569" s="187"/>
      <c r="I569" s="47" t="s">
        <v>521</v>
      </c>
      <c r="J569" s="188"/>
      <c r="K569" s="189">
        <f>K570</f>
        <v>3428000</v>
      </c>
      <c r="L569" s="189"/>
      <c r="M569" s="231"/>
      <c r="N569" s="113">
        <f>N570</f>
        <v>0</v>
      </c>
      <c r="O569" s="355">
        <f>O570</f>
        <v>0</v>
      </c>
      <c r="P569" s="353"/>
      <c r="Q569" s="353"/>
      <c r="R569" s="350" t="e">
        <f t="shared" si="53"/>
        <v>#DIV/0!</v>
      </c>
    </row>
    <row r="570" spans="1:18" ht="31" hidden="1" x14ac:dyDescent="0.35">
      <c r="A570" s="39"/>
      <c r="B570" s="213"/>
      <c r="C570" s="213"/>
      <c r="D570" s="213"/>
      <c r="E570" s="213"/>
      <c r="F570" s="214"/>
      <c r="G570" s="51" t="s">
        <v>10</v>
      </c>
      <c r="H570" s="187"/>
      <c r="I570" s="112"/>
      <c r="J570" s="188">
        <v>400</v>
      </c>
      <c r="K570" s="189">
        <v>3428000</v>
      </c>
      <c r="L570" s="189"/>
      <c r="M570" s="231"/>
      <c r="N570" s="113"/>
      <c r="O570" s="355"/>
      <c r="P570" s="353"/>
      <c r="Q570" s="353"/>
      <c r="R570" s="350" t="e">
        <f t="shared" si="53"/>
        <v>#DIV/0!</v>
      </c>
    </row>
    <row r="571" spans="1:18" ht="62" x14ac:dyDescent="0.35">
      <c r="A571" s="39"/>
      <c r="B571" s="266"/>
      <c r="C571" s="266"/>
      <c r="D571" s="266"/>
      <c r="E571" s="266"/>
      <c r="F571" s="267"/>
      <c r="G571" s="273" t="s">
        <v>691</v>
      </c>
      <c r="H571" s="187"/>
      <c r="I571" s="64" t="s">
        <v>519</v>
      </c>
      <c r="J571" s="188"/>
      <c r="K571" s="189"/>
      <c r="L571" s="189"/>
      <c r="M571" s="231"/>
      <c r="N571" s="113"/>
      <c r="O571" s="359">
        <f>O572+O574</f>
        <v>17368460</v>
      </c>
      <c r="P571" s="358"/>
      <c r="Q571" s="358">
        <f>Q572+Q574</f>
        <v>15556216.27</v>
      </c>
      <c r="R571" s="350">
        <f t="shared" si="53"/>
        <v>89.565892831028194</v>
      </c>
    </row>
    <row r="572" spans="1:18" ht="46.5" x14ac:dyDescent="0.35">
      <c r="A572" s="39"/>
      <c r="B572" s="266"/>
      <c r="C572" s="266"/>
      <c r="D572" s="266"/>
      <c r="E572" s="266"/>
      <c r="F572" s="267"/>
      <c r="G572" s="51" t="s">
        <v>523</v>
      </c>
      <c r="H572" s="187"/>
      <c r="I572" s="47" t="s">
        <v>520</v>
      </c>
      <c r="J572" s="188"/>
      <c r="K572" s="189"/>
      <c r="L572" s="189"/>
      <c r="M572" s="231"/>
      <c r="N572" s="113"/>
      <c r="O572" s="355">
        <f>O573</f>
        <v>868460</v>
      </c>
      <c r="P572" s="353"/>
      <c r="Q572" s="353">
        <f>Q573</f>
        <v>777810.82</v>
      </c>
      <c r="R572" s="350">
        <f t="shared" si="53"/>
        <v>89.562077700757655</v>
      </c>
    </row>
    <row r="573" spans="1:18" ht="46.5" x14ac:dyDescent="0.35">
      <c r="A573" s="39"/>
      <c r="B573" s="266"/>
      <c r="C573" s="266"/>
      <c r="D573" s="266"/>
      <c r="E573" s="266"/>
      <c r="F573" s="267"/>
      <c r="G573" s="51" t="s">
        <v>10</v>
      </c>
      <c r="H573" s="187"/>
      <c r="I573" s="112"/>
      <c r="J573" s="188">
        <v>400</v>
      </c>
      <c r="K573" s="189"/>
      <c r="L573" s="189"/>
      <c r="M573" s="231"/>
      <c r="N573" s="113"/>
      <c r="O573" s="353">
        <f>1199460-331000</f>
        <v>868460</v>
      </c>
      <c r="P573" s="353"/>
      <c r="Q573" s="353">
        <v>777810.82</v>
      </c>
      <c r="R573" s="350">
        <f t="shared" si="53"/>
        <v>89.562077700757655</v>
      </c>
    </row>
    <row r="574" spans="1:18" ht="46.5" x14ac:dyDescent="0.35">
      <c r="A574" s="39"/>
      <c r="B574" s="266"/>
      <c r="C574" s="266"/>
      <c r="D574" s="266"/>
      <c r="E574" s="266"/>
      <c r="F574" s="267"/>
      <c r="G574" s="133" t="s">
        <v>522</v>
      </c>
      <c r="H574" s="187"/>
      <c r="I574" s="47" t="s">
        <v>521</v>
      </c>
      <c r="J574" s="188"/>
      <c r="K574" s="189"/>
      <c r="L574" s="189"/>
      <c r="M574" s="231"/>
      <c r="N574" s="113"/>
      <c r="O574" s="355">
        <f>O575</f>
        <v>16500000</v>
      </c>
      <c r="P574" s="353"/>
      <c r="Q574" s="353">
        <f>Q575</f>
        <v>14778405.449999999</v>
      </c>
      <c r="R574" s="350">
        <f t="shared" si="53"/>
        <v>89.566093636363632</v>
      </c>
    </row>
    <row r="575" spans="1:18" ht="46.5" x14ac:dyDescent="0.35">
      <c r="A575" s="39"/>
      <c r="B575" s="266"/>
      <c r="C575" s="266"/>
      <c r="D575" s="266"/>
      <c r="E575" s="266"/>
      <c r="F575" s="267"/>
      <c r="G575" s="51" t="s">
        <v>10</v>
      </c>
      <c r="H575" s="187"/>
      <c r="I575" s="112"/>
      <c r="J575" s="188">
        <v>400</v>
      </c>
      <c r="K575" s="189"/>
      <c r="L575" s="189"/>
      <c r="M575" s="231"/>
      <c r="N575" s="113"/>
      <c r="O575" s="353">
        <v>16500000</v>
      </c>
      <c r="P575" s="353"/>
      <c r="Q575" s="353">
        <v>14778405.449999999</v>
      </c>
      <c r="R575" s="350">
        <f t="shared" si="53"/>
        <v>89.566093636363632</v>
      </c>
    </row>
    <row r="576" spans="1:18" ht="31" hidden="1" x14ac:dyDescent="0.35">
      <c r="A576" s="39"/>
      <c r="B576" s="276"/>
      <c r="C576" s="276"/>
      <c r="D576" s="276"/>
      <c r="E576" s="276"/>
      <c r="F576" s="277"/>
      <c r="G576" s="282" t="s">
        <v>606</v>
      </c>
      <c r="H576" s="187"/>
      <c r="I576" s="64" t="s">
        <v>605</v>
      </c>
      <c r="J576" s="188"/>
      <c r="K576" s="189"/>
      <c r="L576" s="189"/>
      <c r="M576" s="231"/>
      <c r="N576" s="113"/>
      <c r="O576" s="353">
        <f>O577</f>
        <v>0</v>
      </c>
      <c r="P576" s="353"/>
      <c r="Q576" s="353"/>
      <c r="R576" s="350" t="e">
        <f t="shared" si="53"/>
        <v>#DIV/0!</v>
      </c>
    </row>
    <row r="577" spans="1:18" ht="31" hidden="1" x14ac:dyDescent="0.35">
      <c r="A577" s="39"/>
      <c r="B577" s="276"/>
      <c r="C577" s="276"/>
      <c r="D577" s="276"/>
      <c r="E577" s="276"/>
      <c r="F577" s="277"/>
      <c r="G577" s="281" t="s">
        <v>607</v>
      </c>
      <c r="H577" s="187"/>
      <c r="I577" s="3" t="s">
        <v>602</v>
      </c>
      <c r="J577" s="188"/>
      <c r="K577" s="189"/>
      <c r="L577" s="189"/>
      <c r="M577" s="231"/>
      <c r="N577" s="113"/>
      <c r="O577" s="353">
        <f>O578</f>
        <v>0</v>
      </c>
      <c r="P577" s="353"/>
      <c r="Q577" s="353"/>
      <c r="R577" s="350" t="e">
        <f t="shared" si="53"/>
        <v>#DIV/0!</v>
      </c>
    </row>
    <row r="578" spans="1:18" ht="31" hidden="1" x14ac:dyDescent="0.35">
      <c r="A578" s="39"/>
      <c r="B578" s="276"/>
      <c r="C578" s="276"/>
      <c r="D578" s="276"/>
      <c r="E578" s="276"/>
      <c r="F578" s="277"/>
      <c r="G578" s="51" t="s">
        <v>2</v>
      </c>
      <c r="H578" s="187"/>
      <c r="I578" s="112"/>
      <c r="J578" s="188">
        <v>200</v>
      </c>
      <c r="K578" s="189"/>
      <c r="L578" s="189"/>
      <c r="M578" s="231"/>
      <c r="N578" s="113"/>
      <c r="O578" s="353"/>
      <c r="P578" s="353"/>
      <c r="Q578" s="353"/>
      <c r="R578" s="350" t="e">
        <f t="shared" si="53"/>
        <v>#DIV/0!</v>
      </c>
    </row>
    <row r="579" spans="1:18" ht="45" x14ac:dyDescent="0.35">
      <c r="A579" s="39"/>
      <c r="B579" s="17"/>
      <c r="C579" s="17"/>
      <c r="D579" s="17"/>
      <c r="E579" s="17"/>
      <c r="F579" s="18"/>
      <c r="G579" s="306" t="s">
        <v>665</v>
      </c>
      <c r="H579" s="59"/>
      <c r="I579" s="60" t="s">
        <v>264</v>
      </c>
      <c r="J579" s="61" t="s">
        <v>0</v>
      </c>
      <c r="K579" s="62">
        <f t="shared" ref="K579:O579" si="54">K580+K590</f>
        <v>9479483</v>
      </c>
      <c r="L579" s="62">
        <f t="shared" si="54"/>
        <v>309969</v>
      </c>
      <c r="M579" s="224">
        <f t="shared" si="54"/>
        <v>9739452</v>
      </c>
      <c r="N579" s="121">
        <f t="shared" si="54"/>
        <v>0</v>
      </c>
      <c r="O579" s="354">
        <f t="shared" si="54"/>
        <v>15695283</v>
      </c>
      <c r="P579" s="352"/>
      <c r="Q579" s="352">
        <f t="shared" ref="Q579" si="55">Q580+Q590</f>
        <v>15397133.41</v>
      </c>
      <c r="R579" s="350">
        <f t="shared" si="53"/>
        <v>98.100387294705044</v>
      </c>
    </row>
    <row r="580" spans="1:18" ht="46.5" x14ac:dyDescent="0.35">
      <c r="A580" s="39"/>
      <c r="B580" s="17"/>
      <c r="C580" s="17"/>
      <c r="D580" s="17"/>
      <c r="E580" s="17"/>
      <c r="F580" s="18"/>
      <c r="G580" s="14" t="s">
        <v>666</v>
      </c>
      <c r="H580" s="115"/>
      <c r="I580" s="47" t="s">
        <v>265</v>
      </c>
      <c r="J580" s="48" t="s">
        <v>0</v>
      </c>
      <c r="K580" s="49">
        <f>K581</f>
        <v>200000</v>
      </c>
      <c r="L580" s="49"/>
      <c r="M580" s="225">
        <f>M581</f>
        <v>150000</v>
      </c>
      <c r="N580" s="49">
        <f>N581</f>
        <v>0</v>
      </c>
      <c r="O580" s="355">
        <f>O581</f>
        <v>46200</v>
      </c>
      <c r="P580" s="353"/>
      <c r="Q580" s="353">
        <f>Q581</f>
        <v>46200</v>
      </c>
      <c r="R580" s="350">
        <f t="shared" si="53"/>
        <v>100</v>
      </c>
    </row>
    <row r="581" spans="1:18" ht="62" x14ac:dyDescent="0.35">
      <c r="A581" s="39"/>
      <c r="B581" s="17"/>
      <c r="C581" s="17"/>
      <c r="D581" s="17"/>
      <c r="E581" s="17"/>
      <c r="F581" s="18"/>
      <c r="G581" s="63" t="s">
        <v>267</v>
      </c>
      <c r="H581" s="63"/>
      <c r="I581" s="64" t="s">
        <v>266</v>
      </c>
      <c r="J581" s="48"/>
      <c r="K581" s="49">
        <f>K582+K584</f>
        <v>200000</v>
      </c>
      <c r="L581" s="49"/>
      <c r="M581" s="225">
        <f>M582+M584</f>
        <v>150000</v>
      </c>
      <c r="N581" s="49">
        <f>N582+N584</f>
        <v>0</v>
      </c>
      <c r="O581" s="359">
        <f>O582+O586+O588</f>
        <v>46200</v>
      </c>
      <c r="P581" s="358"/>
      <c r="Q581" s="358">
        <f>Q582+Q586+Q588</f>
        <v>46200</v>
      </c>
      <c r="R581" s="350">
        <f t="shared" si="53"/>
        <v>100</v>
      </c>
    </row>
    <row r="582" spans="1:18" ht="62" x14ac:dyDescent="0.35">
      <c r="A582" s="39"/>
      <c r="B582" s="17"/>
      <c r="C582" s="17"/>
      <c r="D582" s="17"/>
      <c r="E582" s="17"/>
      <c r="F582" s="18"/>
      <c r="G582" s="14" t="s">
        <v>667</v>
      </c>
      <c r="H582" s="51"/>
      <c r="I582" s="47" t="s">
        <v>268</v>
      </c>
      <c r="J582" s="48" t="s">
        <v>0</v>
      </c>
      <c r="K582" s="49">
        <f>K583</f>
        <v>200000</v>
      </c>
      <c r="L582" s="49"/>
      <c r="M582" s="225">
        <f>M583</f>
        <v>150000</v>
      </c>
      <c r="N582" s="49">
        <f>N583</f>
        <v>0</v>
      </c>
      <c r="O582" s="355">
        <f>O583</f>
        <v>46200</v>
      </c>
      <c r="P582" s="353"/>
      <c r="Q582" s="353">
        <f>Q583</f>
        <v>46200</v>
      </c>
      <c r="R582" s="350">
        <f t="shared" si="53"/>
        <v>100</v>
      </c>
    </row>
    <row r="583" spans="1:18" ht="31" x14ac:dyDescent="0.25">
      <c r="G583" s="51" t="s">
        <v>2</v>
      </c>
      <c r="H583" s="51"/>
      <c r="I583" s="47" t="s">
        <v>0</v>
      </c>
      <c r="J583" s="48">
        <v>200</v>
      </c>
      <c r="K583" s="49">
        <v>200000</v>
      </c>
      <c r="L583" s="49"/>
      <c r="M583" s="225">
        <v>150000</v>
      </c>
      <c r="N583" s="49"/>
      <c r="O583" s="353">
        <f>300000-253800</f>
        <v>46200</v>
      </c>
      <c r="P583" s="353"/>
      <c r="Q583" s="353">
        <v>46200</v>
      </c>
      <c r="R583" s="350">
        <f t="shared" si="53"/>
        <v>100</v>
      </c>
    </row>
    <row r="584" spans="1:18" ht="46.5" hidden="1" x14ac:dyDescent="0.25">
      <c r="G584" s="51" t="s">
        <v>358</v>
      </c>
      <c r="H584" s="51"/>
      <c r="I584" s="47" t="s">
        <v>357</v>
      </c>
      <c r="J584" s="48"/>
      <c r="K584" s="49">
        <f>K585</f>
        <v>0</v>
      </c>
      <c r="L584" s="49"/>
      <c r="M584" s="225">
        <f>M585</f>
        <v>0</v>
      </c>
      <c r="N584" s="49"/>
      <c r="O584" s="353"/>
      <c r="P584" s="353"/>
      <c r="Q584" s="353"/>
      <c r="R584" s="350" t="e">
        <f t="shared" si="53"/>
        <v>#DIV/0!</v>
      </c>
    </row>
    <row r="585" spans="1:18" ht="31" hidden="1" x14ac:dyDescent="0.25">
      <c r="G585" s="51" t="s">
        <v>4</v>
      </c>
      <c r="H585" s="51"/>
      <c r="I585" s="47"/>
      <c r="J585" s="48">
        <v>200</v>
      </c>
      <c r="K585" s="49">
        <v>0</v>
      </c>
      <c r="L585" s="49"/>
      <c r="M585" s="225">
        <v>0</v>
      </c>
      <c r="N585" s="49"/>
      <c r="O585" s="353"/>
      <c r="P585" s="353"/>
      <c r="Q585" s="353"/>
      <c r="R585" s="350" t="e">
        <f t="shared" si="53"/>
        <v>#DIV/0!</v>
      </c>
    </row>
    <row r="586" spans="1:18" hidden="1" x14ac:dyDescent="0.25">
      <c r="G586" s="257"/>
      <c r="H586" s="51"/>
      <c r="I586" s="47" t="s">
        <v>560</v>
      </c>
      <c r="J586" s="48"/>
      <c r="K586" s="49"/>
      <c r="L586" s="49"/>
      <c r="M586" s="225"/>
      <c r="N586" s="49"/>
      <c r="O586" s="353">
        <f>O587</f>
        <v>0</v>
      </c>
      <c r="P586" s="353"/>
      <c r="Q586" s="353"/>
      <c r="R586" s="350" t="e">
        <f t="shared" si="53"/>
        <v>#DIV/0!</v>
      </c>
    </row>
    <row r="587" spans="1:18" ht="31" hidden="1" x14ac:dyDescent="0.25">
      <c r="G587" s="51" t="s">
        <v>2</v>
      </c>
      <c r="H587" s="51"/>
      <c r="I587" s="47"/>
      <c r="J587" s="48">
        <v>200</v>
      </c>
      <c r="K587" s="49"/>
      <c r="L587" s="49"/>
      <c r="M587" s="225"/>
      <c r="N587" s="49"/>
      <c r="O587" s="353"/>
      <c r="P587" s="353"/>
      <c r="Q587" s="353"/>
      <c r="R587" s="350" t="e">
        <f t="shared" si="53"/>
        <v>#DIV/0!</v>
      </c>
    </row>
    <row r="588" spans="1:18" ht="36.75" hidden="1" customHeight="1" x14ac:dyDescent="0.25">
      <c r="G588" s="14" t="s">
        <v>622</v>
      </c>
      <c r="H588" s="51"/>
      <c r="I588" s="3" t="s">
        <v>621</v>
      </c>
      <c r="J588" s="48"/>
      <c r="K588" s="49"/>
      <c r="L588" s="49"/>
      <c r="M588" s="225"/>
      <c r="N588" s="49"/>
      <c r="O588" s="353">
        <f>O589</f>
        <v>0</v>
      </c>
      <c r="P588" s="353"/>
      <c r="Q588" s="353"/>
      <c r="R588" s="350" t="e">
        <f t="shared" si="53"/>
        <v>#DIV/0!</v>
      </c>
    </row>
    <row r="589" spans="1:18" ht="62" hidden="1" x14ac:dyDescent="0.25">
      <c r="G589" s="51" t="s">
        <v>3</v>
      </c>
      <c r="H589" s="51"/>
      <c r="I589" s="47"/>
      <c r="J589" s="48">
        <v>100</v>
      </c>
      <c r="K589" s="49"/>
      <c r="L589" s="49"/>
      <c r="M589" s="225"/>
      <c r="N589" s="49"/>
      <c r="O589" s="353"/>
      <c r="P589" s="353"/>
      <c r="Q589" s="353"/>
      <c r="R589" s="350" t="e">
        <f t="shared" si="53"/>
        <v>#DIV/0!</v>
      </c>
    </row>
    <row r="590" spans="1:18" ht="77.5" x14ac:dyDescent="0.25">
      <c r="G590" s="14" t="s">
        <v>668</v>
      </c>
      <c r="H590" s="115"/>
      <c r="I590" s="47" t="s">
        <v>269</v>
      </c>
      <c r="J590" s="48" t="s">
        <v>0</v>
      </c>
      <c r="K590" s="49">
        <f t="shared" ref="K590:Q591" si="56">K591</f>
        <v>9279483</v>
      </c>
      <c r="L590" s="49">
        <f t="shared" si="56"/>
        <v>309969</v>
      </c>
      <c r="M590" s="225">
        <f t="shared" si="56"/>
        <v>9589452</v>
      </c>
      <c r="N590" s="49">
        <f t="shared" si="56"/>
        <v>0</v>
      </c>
      <c r="O590" s="353">
        <f t="shared" si="56"/>
        <v>15649083</v>
      </c>
      <c r="P590" s="353"/>
      <c r="Q590" s="353">
        <f t="shared" si="56"/>
        <v>15350933.41</v>
      </c>
      <c r="R590" s="350">
        <f t="shared" si="53"/>
        <v>98.094779163737584</v>
      </c>
    </row>
    <row r="591" spans="1:18" ht="52.5" customHeight="1" x14ac:dyDescent="0.25">
      <c r="G591" s="63" t="s">
        <v>310</v>
      </c>
      <c r="H591" s="63"/>
      <c r="I591" s="64" t="s">
        <v>270</v>
      </c>
      <c r="J591" s="48"/>
      <c r="K591" s="49">
        <f t="shared" si="56"/>
        <v>9279483</v>
      </c>
      <c r="L591" s="49">
        <f t="shared" si="56"/>
        <v>309969</v>
      </c>
      <c r="M591" s="225">
        <f t="shared" si="56"/>
        <v>9589452</v>
      </c>
      <c r="N591" s="49">
        <f t="shared" si="56"/>
        <v>0</v>
      </c>
      <c r="O591" s="358">
        <f t="shared" si="56"/>
        <v>15649083</v>
      </c>
      <c r="P591" s="358"/>
      <c r="Q591" s="358">
        <f t="shared" si="56"/>
        <v>15350933.41</v>
      </c>
      <c r="R591" s="350">
        <f t="shared" si="53"/>
        <v>98.094779163737584</v>
      </c>
    </row>
    <row r="592" spans="1:18" ht="77.5" x14ac:dyDescent="0.25">
      <c r="G592" s="14" t="s">
        <v>669</v>
      </c>
      <c r="H592" s="51"/>
      <c r="I592" s="47" t="s">
        <v>271</v>
      </c>
      <c r="J592" s="48" t="s">
        <v>0</v>
      </c>
      <c r="K592" s="49">
        <f>K593+K595+K596</f>
        <v>9279483</v>
      </c>
      <c r="L592" s="49">
        <f>L593+L595+L596</f>
        <v>309969</v>
      </c>
      <c r="M592" s="225">
        <f>M593+M595+M596</f>
        <v>9589452</v>
      </c>
      <c r="N592" s="49">
        <f>N593+N595+N596</f>
        <v>0</v>
      </c>
      <c r="O592" s="353">
        <f>O593+O595+O596+O594</f>
        <v>15649083</v>
      </c>
      <c r="P592" s="353"/>
      <c r="Q592" s="353">
        <f>Q593+Q595+Q596+Q594</f>
        <v>15350933.41</v>
      </c>
      <c r="R592" s="350">
        <f t="shared" si="53"/>
        <v>98.094779163737584</v>
      </c>
    </row>
    <row r="593" spans="7:18" ht="77.5" x14ac:dyDescent="0.25">
      <c r="G593" s="51" t="s">
        <v>3</v>
      </c>
      <c r="H593" s="51"/>
      <c r="I593" s="52"/>
      <c r="J593" s="48">
        <v>100</v>
      </c>
      <c r="K593" s="49">
        <v>6351047</v>
      </c>
      <c r="L593" s="49">
        <v>309969</v>
      </c>
      <c r="M593" s="225">
        <f>K593+L593</f>
        <v>6661016</v>
      </c>
      <c r="N593" s="49"/>
      <c r="O593" s="360">
        <f>8549345+563396+325050+89650</f>
        <v>9527441</v>
      </c>
      <c r="P593" s="353"/>
      <c r="Q593" s="353">
        <v>9476103.3800000008</v>
      </c>
      <c r="R593" s="350">
        <f t="shared" si="53"/>
        <v>99.461160452213775</v>
      </c>
    </row>
    <row r="594" spans="7:18" ht="31" x14ac:dyDescent="0.25">
      <c r="G594" s="51" t="s">
        <v>5</v>
      </c>
      <c r="H594" s="51"/>
      <c r="I594" s="52"/>
      <c r="J594" s="48">
        <v>300</v>
      </c>
      <c r="K594" s="49"/>
      <c r="L594" s="49"/>
      <c r="M594" s="225"/>
      <c r="N594" s="49"/>
      <c r="O594" s="360">
        <v>15174</v>
      </c>
      <c r="P594" s="353"/>
      <c r="Q594" s="353">
        <v>15173.6</v>
      </c>
      <c r="R594" s="350">
        <f t="shared" si="53"/>
        <v>99.997363911954665</v>
      </c>
    </row>
    <row r="595" spans="7:18" ht="31" x14ac:dyDescent="0.25">
      <c r="G595" s="51" t="s">
        <v>2</v>
      </c>
      <c r="H595" s="51"/>
      <c r="I595" s="52"/>
      <c r="J595" s="48">
        <v>200</v>
      </c>
      <c r="K595" s="49">
        <v>2702396</v>
      </c>
      <c r="L595" s="49"/>
      <c r="M595" s="225">
        <f>K595+L595</f>
        <v>2702396</v>
      </c>
      <c r="N595" s="49"/>
      <c r="O595" s="353">
        <f>6472219-563396</f>
        <v>5908823</v>
      </c>
      <c r="P595" s="353"/>
      <c r="Q595" s="353">
        <v>5662011.4299999997</v>
      </c>
      <c r="R595" s="350">
        <f t="shared" si="53"/>
        <v>95.822999436605215</v>
      </c>
    </row>
    <row r="596" spans="7:18" x14ac:dyDescent="0.25">
      <c r="G596" s="51" t="s">
        <v>1</v>
      </c>
      <c r="H596" s="51"/>
      <c r="I596" s="52"/>
      <c r="J596" s="48">
        <v>800</v>
      </c>
      <c r="K596" s="49">
        <v>226040</v>
      </c>
      <c r="L596" s="49"/>
      <c r="M596" s="225">
        <f>K596+L596</f>
        <v>226040</v>
      </c>
      <c r="N596" s="49"/>
      <c r="O596" s="353">
        <f>223400-20774-4981</f>
        <v>197645</v>
      </c>
      <c r="P596" s="353"/>
      <c r="Q596" s="353">
        <v>197645</v>
      </c>
      <c r="R596" s="350">
        <f t="shared" si="53"/>
        <v>100</v>
      </c>
    </row>
    <row r="597" spans="7:18" ht="60" x14ac:dyDescent="0.3">
      <c r="G597" s="303" t="s">
        <v>670</v>
      </c>
      <c r="H597" s="65"/>
      <c r="I597" s="60" t="s">
        <v>419</v>
      </c>
      <c r="J597" s="48"/>
      <c r="K597" s="121">
        <f t="shared" ref="K597:O597" si="57">K599</f>
        <v>420000</v>
      </c>
      <c r="L597" s="121">
        <f t="shared" si="57"/>
        <v>0</v>
      </c>
      <c r="M597" s="226">
        <f t="shared" si="57"/>
        <v>420000</v>
      </c>
      <c r="N597" s="121">
        <f t="shared" si="57"/>
        <v>0</v>
      </c>
      <c r="O597" s="352">
        <f t="shared" si="57"/>
        <v>3583993</v>
      </c>
      <c r="P597" s="352"/>
      <c r="Q597" s="352">
        <f t="shared" ref="Q597" si="58">Q599</f>
        <v>3582159.12</v>
      </c>
      <c r="R597" s="350">
        <f t="shared" si="53"/>
        <v>99.948831373275553</v>
      </c>
    </row>
    <row r="598" spans="7:18" ht="77.5" x14ac:dyDescent="0.35">
      <c r="G598" s="309" t="s">
        <v>671</v>
      </c>
      <c r="H598" s="65"/>
      <c r="I598" s="47" t="s">
        <v>420</v>
      </c>
      <c r="J598" s="48"/>
      <c r="K598" s="49">
        <f t="shared" ref="K598:Q598" si="59">K599</f>
        <v>420000</v>
      </c>
      <c r="L598" s="49">
        <f t="shared" si="59"/>
        <v>0</v>
      </c>
      <c r="M598" s="225">
        <f t="shared" si="59"/>
        <v>420000</v>
      </c>
      <c r="N598" s="49">
        <f t="shared" si="59"/>
        <v>0</v>
      </c>
      <c r="O598" s="353">
        <f t="shared" si="59"/>
        <v>3583993</v>
      </c>
      <c r="P598" s="353"/>
      <c r="Q598" s="353">
        <f t="shared" si="59"/>
        <v>3582159.12</v>
      </c>
      <c r="R598" s="350">
        <f t="shared" si="53"/>
        <v>99.948831373275553</v>
      </c>
    </row>
    <row r="599" spans="7:18" ht="37.5" customHeight="1" x14ac:dyDescent="0.25">
      <c r="G599" s="63" t="s">
        <v>316</v>
      </c>
      <c r="H599" s="63"/>
      <c r="I599" s="64" t="s">
        <v>421</v>
      </c>
      <c r="J599" s="48"/>
      <c r="K599" s="49">
        <f t="shared" ref="K599:O599" si="60">K600+K602</f>
        <v>420000</v>
      </c>
      <c r="L599" s="49">
        <f t="shared" si="60"/>
        <v>0</v>
      </c>
      <c r="M599" s="225">
        <f t="shared" si="60"/>
        <v>420000</v>
      </c>
      <c r="N599" s="49">
        <f t="shared" si="60"/>
        <v>0</v>
      </c>
      <c r="O599" s="358">
        <f t="shared" si="60"/>
        <v>3583993</v>
      </c>
      <c r="P599" s="358"/>
      <c r="Q599" s="358">
        <f t="shared" ref="Q599" si="61">Q600+Q602</f>
        <v>3582159.12</v>
      </c>
      <c r="R599" s="350">
        <f t="shared" si="53"/>
        <v>99.948831373275553</v>
      </c>
    </row>
    <row r="600" spans="7:18" ht="101" customHeight="1" x14ac:dyDescent="0.35">
      <c r="G600" s="111" t="s">
        <v>387</v>
      </c>
      <c r="H600" s="66"/>
      <c r="I600" s="47" t="s">
        <v>422</v>
      </c>
      <c r="J600" s="48"/>
      <c r="K600" s="49">
        <f t="shared" ref="K600:N600" si="62">K601</f>
        <v>420000</v>
      </c>
      <c r="L600" s="49">
        <f t="shared" si="62"/>
        <v>0</v>
      </c>
      <c r="M600" s="225">
        <f t="shared" si="62"/>
        <v>420000</v>
      </c>
      <c r="N600" s="49">
        <f t="shared" si="62"/>
        <v>0</v>
      </c>
      <c r="O600" s="353">
        <f>O601+O606+O607+O605</f>
        <v>3583993</v>
      </c>
      <c r="P600" s="353"/>
      <c r="Q600" s="353">
        <f>Q601+Q606+Q607+Q605</f>
        <v>3582159.12</v>
      </c>
      <c r="R600" s="350">
        <f t="shared" si="53"/>
        <v>99.948831373275553</v>
      </c>
    </row>
    <row r="601" spans="7:18" ht="31" x14ac:dyDescent="0.25">
      <c r="G601" s="51" t="s">
        <v>2</v>
      </c>
      <c r="H601" s="51"/>
      <c r="I601" s="52"/>
      <c r="J601" s="48">
        <v>200</v>
      </c>
      <c r="K601" s="49">
        <v>420000</v>
      </c>
      <c r="L601" s="49">
        <v>0</v>
      </c>
      <c r="M601" s="225">
        <f>K601+L601</f>
        <v>420000</v>
      </c>
      <c r="N601" s="49"/>
      <c r="O601" s="353">
        <f>2075118-95000-117000</f>
        <v>1863118</v>
      </c>
      <c r="P601" s="353"/>
      <c r="Q601" s="353">
        <v>1861284.19</v>
      </c>
      <c r="R601" s="350">
        <f t="shared" si="53"/>
        <v>99.901573061931657</v>
      </c>
    </row>
    <row r="602" spans="7:18" ht="62" hidden="1" x14ac:dyDescent="0.25">
      <c r="G602" s="51" t="s">
        <v>324</v>
      </c>
      <c r="H602" s="51"/>
      <c r="I602" s="47" t="s">
        <v>317</v>
      </c>
      <c r="J602" s="48"/>
      <c r="K602" s="49">
        <f>K603</f>
        <v>0</v>
      </c>
      <c r="L602" s="49"/>
      <c r="M602" s="225">
        <f>M603</f>
        <v>0</v>
      </c>
      <c r="N602" s="49"/>
      <c r="O602" s="353"/>
      <c r="P602" s="353"/>
      <c r="Q602" s="353"/>
      <c r="R602" s="350" t="e">
        <f t="shared" si="53"/>
        <v>#DIV/0!</v>
      </c>
    </row>
    <row r="603" spans="7:18" ht="31.4" hidden="1" customHeight="1" x14ac:dyDescent="0.25">
      <c r="G603" s="51" t="s">
        <v>2</v>
      </c>
      <c r="H603" s="51"/>
      <c r="I603" s="47"/>
      <c r="J603" s="48">
        <v>200</v>
      </c>
      <c r="K603" s="49">
        <v>0</v>
      </c>
      <c r="L603" s="49"/>
      <c r="M603" s="225">
        <v>0</v>
      </c>
      <c r="N603" s="49"/>
      <c r="O603" s="353"/>
      <c r="P603" s="353"/>
      <c r="Q603" s="353"/>
      <c r="R603" s="350" t="e">
        <f t="shared" si="53"/>
        <v>#DIV/0!</v>
      </c>
    </row>
    <row r="604" spans="7:18" ht="20.25" hidden="1" customHeight="1" x14ac:dyDescent="0.25">
      <c r="G604" s="51" t="s">
        <v>6</v>
      </c>
      <c r="H604" s="51"/>
      <c r="I604" s="47"/>
      <c r="J604" s="48">
        <v>500</v>
      </c>
      <c r="K604" s="49"/>
      <c r="L604" s="49"/>
      <c r="M604" s="225"/>
      <c r="N604" s="49"/>
      <c r="O604" s="353"/>
      <c r="P604" s="353"/>
      <c r="Q604" s="353"/>
      <c r="R604" s="350" t="e">
        <f t="shared" si="53"/>
        <v>#DIV/0!</v>
      </c>
    </row>
    <row r="605" spans="7:18" ht="33" hidden="1" customHeight="1" x14ac:dyDescent="0.25">
      <c r="G605" s="51" t="s">
        <v>10</v>
      </c>
      <c r="H605" s="14" t="s">
        <v>98</v>
      </c>
      <c r="I605" s="3"/>
      <c r="J605" s="204">
        <v>400</v>
      </c>
      <c r="K605" s="207"/>
      <c r="L605" s="207"/>
      <c r="M605" s="299"/>
      <c r="N605" s="207"/>
      <c r="O605" s="353">
        <v>0</v>
      </c>
      <c r="P605" s="353"/>
      <c r="Q605" s="353"/>
      <c r="R605" s="350" t="e">
        <f t="shared" si="53"/>
        <v>#DIV/0!</v>
      </c>
    </row>
    <row r="606" spans="7:18" ht="20.25" customHeight="1" x14ac:dyDescent="0.25">
      <c r="G606" s="51" t="s">
        <v>6</v>
      </c>
      <c r="H606" s="51"/>
      <c r="I606" s="47"/>
      <c r="J606" s="48">
        <v>500</v>
      </c>
      <c r="K606" s="49"/>
      <c r="L606" s="49"/>
      <c r="M606" s="225"/>
      <c r="N606" s="49"/>
      <c r="O606" s="353">
        <f>2870000-1165625</f>
        <v>1704375</v>
      </c>
      <c r="P606" s="353"/>
      <c r="Q606" s="353">
        <v>1704374.93</v>
      </c>
      <c r="R606" s="350">
        <f t="shared" si="53"/>
        <v>99.999995892922627</v>
      </c>
    </row>
    <row r="607" spans="7:18" ht="20.25" customHeight="1" x14ac:dyDescent="0.25">
      <c r="G607" s="51" t="s">
        <v>1</v>
      </c>
      <c r="H607" s="51"/>
      <c r="I607" s="47"/>
      <c r="J607" s="48">
        <v>800</v>
      </c>
      <c r="K607" s="49"/>
      <c r="L607" s="49"/>
      <c r="M607" s="225"/>
      <c r="N607" s="49"/>
      <c r="O607" s="353">
        <f>20000-3500</f>
        <v>16500</v>
      </c>
      <c r="P607" s="353"/>
      <c r="Q607" s="353">
        <v>16500</v>
      </c>
      <c r="R607" s="350">
        <f t="shared" si="53"/>
        <v>100</v>
      </c>
    </row>
    <row r="608" spans="7:18" ht="45" x14ac:dyDescent="0.25">
      <c r="G608" s="2" t="s">
        <v>672</v>
      </c>
      <c r="H608" s="115"/>
      <c r="I608" s="60" t="s">
        <v>260</v>
      </c>
      <c r="J608" s="116" t="s">
        <v>0</v>
      </c>
      <c r="K608" s="121">
        <f>K609</f>
        <v>1795200</v>
      </c>
      <c r="L608" s="121"/>
      <c r="M608" s="226">
        <f t="shared" ref="M608:Q611" si="63">M609</f>
        <v>1669167</v>
      </c>
      <c r="N608" s="121">
        <f t="shared" si="63"/>
        <v>0</v>
      </c>
      <c r="O608" s="352">
        <f t="shared" si="63"/>
        <v>2666320</v>
      </c>
      <c r="P608" s="352"/>
      <c r="Q608" s="352">
        <f t="shared" si="63"/>
        <v>2666320</v>
      </c>
      <c r="R608" s="350">
        <f t="shared" si="53"/>
        <v>100</v>
      </c>
    </row>
    <row r="609" spans="7:18" ht="31" x14ac:dyDescent="0.25">
      <c r="G609" s="14" t="s">
        <v>673</v>
      </c>
      <c r="H609" s="51"/>
      <c r="I609" s="47" t="s">
        <v>261</v>
      </c>
      <c r="J609" s="48" t="s">
        <v>0</v>
      </c>
      <c r="K609" s="49">
        <f>K610</f>
        <v>1795200</v>
      </c>
      <c r="L609" s="49"/>
      <c r="M609" s="225">
        <f t="shared" si="63"/>
        <v>1669167</v>
      </c>
      <c r="N609" s="49">
        <f t="shared" si="63"/>
        <v>0</v>
      </c>
      <c r="O609" s="353">
        <f t="shared" si="63"/>
        <v>2666320</v>
      </c>
      <c r="P609" s="353"/>
      <c r="Q609" s="353">
        <f t="shared" si="63"/>
        <v>2666320</v>
      </c>
      <c r="R609" s="350">
        <f t="shared" si="53"/>
        <v>100</v>
      </c>
    </row>
    <row r="610" spans="7:18" ht="62" x14ac:dyDescent="0.25">
      <c r="G610" s="63" t="s">
        <v>367</v>
      </c>
      <c r="H610" s="63"/>
      <c r="I610" s="64" t="s">
        <v>262</v>
      </c>
      <c r="J610" s="48"/>
      <c r="K610" s="49">
        <f>K611</f>
        <v>1795200</v>
      </c>
      <c r="L610" s="49"/>
      <c r="M610" s="225">
        <f t="shared" si="63"/>
        <v>1669167</v>
      </c>
      <c r="N610" s="49">
        <f t="shared" si="63"/>
        <v>0</v>
      </c>
      <c r="O610" s="358">
        <f t="shared" si="63"/>
        <v>2666320</v>
      </c>
      <c r="P610" s="358"/>
      <c r="Q610" s="358">
        <f t="shared" si="63"/>
        <v>2666320</v>
      </c>
      <c r="R610" s="350">
        <f t="shared" si="53"/>
        <v>100</v>
      </c>
    </row>
    <row r="611" spans="7:18" ht="31" x14ac:dyDescent="0.25">
      <c r="G611" s="14" t="s">
        <v>674</v>
      </c>
      <c r="H611" s="51"/>
      <c r="I611" s="47" t="s">
        <v>263</v>
      </c>
      <c r="J611" s="48" t="s">
        <v>0</v>
      </c>
      <c r="K611" s="49">
        <f>K612</f>
        <v>1795200</v>
      </c>
      <c r="L611" s="49"/>
      <c r="M611" s="225">
        <f t="shared" si="63"/>
        <v>1669167</v>
      </c>
      <c r="N611" s="49">
        <f t="shared" si="63"/>
        <v>0</v>
      </c>
      <c r="O611" s="353">
        <f t="shared" si="63"/>
        <v>2666320</v>
      </c>
      <c r="P611" s="353"/>
      <c r="Q611" s="353">
        <f t="shared" si="63"/>
        <v>2666320</v>
      </c>
      <c r="R611" s="350">
        <f t="shared" si="53"/>
        <v>100</v>
      </c>
    </row>
    <row r="612" spans="7:18" ht="46.5" x14ac:dyDescent="0.25">
      <c r="G612" s="51" t="s">
        <v>4</v>
      </c>
      <c r="H612" s="51"/>
      <c r="I612" s="47" t="s">
        <v>0</v>
      </c>
      <c r="J612" s="48">
        <v>600</v>
      </c>
      <c r="K612" s="49">
        <v>1795200</v>
      </c>
      <c r="L612" s="49"/>
      <c r="M612" s="225">
        <v>1669167</v>
      </c>
      <c r="N612" s="49"/>
      <c r="O612" s="353">
        <f>2026298+640022</f>
        <v>2666320</v>
      </c>
      <c r="P612" s="353"/>
      <c r="Q612" s="353">
        <v>2666320</v>
      </c>
      <c r="R612" s="350">
        <f t="shared" si="53"/>
        <v>100</v>
      </c>
    </row>
    <row r="613" spans="7:18" ht="60" x14ac:dyDescent="0.3">
      <c r="G613" s="308" t="s">
        <v>649</v>
      </c>
      <c r="H613" s="65"/>
      <c r="I613" s="60" t="s">
        <v>272</v>
      </c>
      <c r="J613" s="116" t="s">
        <v>0</v>
      </c>
      <c r="K613" s="121">
        <f>K614+K634</f>
        <v>36708514</v>
      </c>
      <c r="L613" s="121">
        <f>L614+L634</f>
        <v>0</v>
      </c>
      <c r="M613" s="226">
        <f>M614+M634</f>
        <v>36406114</v>
      </c>
      <c r="N613" s="121">
        <f>N614+N634</f>
        <v>0</v>
      </c>
      <c r="O613" s="352">
        <f>O614+O634</f>
        <v>90695517</v>
      </c>
      <c r="P613" s="352"/>
      <c r="Q613" s="352">
        <f>Q614+Q634</f>
        <v>79352274.159999996</v>
      </c>
      <c r="R613" s="350">
        <f t="shared" si="53"/>
        <v>87.493050136094368</v>
      </c>
    </row>
    <row r="614" spans="7:18" ht="62" x14ac:dyDescent="0.35">
      <c r="G614" s="309" t="s">
        <v>675</v>
      </c>
      <c r="H614" s="65"/>
      <c r="I614" s="47" t="s">
        <v>273</v>
      </c>
      <c r="J614" s="48" t="s">
        <v>0</v>
      </c>
      <c r="K614" s="49">
        <f>K615</f>
        <v>28734114</v>
      </c>
      <c r="L614" s="49">
        <f>L615</f>
        <v>0</v>
      </c>
      <c r="M614" s="225">
        <f>M615</f>
        <v>28734114</v>
      </c>
      <c r="N614" s="49">
        <f>N615</f>
        <v>0</v>
      </c>
      <c r="O614" s="353">
        <f>O615</f>
        <v>82120517</v>
      </c>
      <c r="P614" s="353"/>
      <c r="Q614" s="353">
        <f>Q615</f>
        <v>70875054.829999998</v>
      </c>
      <c r="R614" s="350">
        <f t="shared" si="53"/>
        <v>86.306147865581508</v>
      </c>
    </row>
    <row r="615" spans="7:18" ht="46.5" x14ac:dyDescent="0.25">
      <c r="G615" s="114" t="s">
        <v>311</v>
      </c>
      <c r="H615" s="114"/>
      <c r="I615" s="64" t="s">
        <v>274</v>
      </c>
      <c r="J615" s="48"/>
      <c r="K615" s="49">
        <f>K616+K622+K626</f>
        <v>28734114</v>
      </c>
      <c r="L615" s="49">
        <f>L616+L622+L626</f>
        <v>0</v>
      </c>
      <c r="M615" s="225">
        <f>M616+M622+M626</f>
        <v>28734114</v>
      </c>
      <c r="N615" s="49">
        <f>N616+N622+N626</f>
        <v>0</v>
      </c>
      <c r="O615" s="358">
        <f>O616+O618+O622+O626+O630+O632+O628+O624+O620</f>
        <v>82120517</v>
      </c>
      <c r="P615" s="358"/>
      <c r="Q615" s="358">
        <f>Q616+Q618+Q622+Q626+Q630+Q632+Q628+Q624+Q620</f>
        <v>70875054.829999998</v>
      </c>
      <c r="R615" s="350">
        <f t="shared" si="53"/>
        <v>86.306147865581508</v>
      </c>
    </row>
    <row r="616" spans="7:18" ht="62" x14ac:dyDescent="0.35">
      <c r="G616" s="304" t="s">
        <v>676</v>
      </c>
      <c r="H616" s="66"/>
      <c r="I616" s="47" t="s">
        <v>275</v>
      </c>
      <c r="J616" s="48" t="s">
        <v>0</v>
      </c>
      <c r="K616" s="49">
        <f>K617</f>
        <v>19085723</v>
      </c>
      <c r="L616" s="49">
        <f>L617</f>
        <v>0</v>
      </c>
      <c r="M616" s="225">
        <f>M617</f>
        <v>19085723</v>
      </c>
      <c r="N616" s="49">
        <f>N617</f>
        <v>0</v>
      </c>
      <c r="O616" s="353">
        <f>O617</f>
        <v>31372271</v>
      </c>
      <c r="P616" s="353"/>
      <c r="Q616" s="353">
        <f>Q617</f>
        <v>21103082.850000001</v>
      </c>
      <c r="R616" s="350">
        <f t="shared" si="53"/>
        <v>67.266672693220073</v>
      </c>
    </row>
    <row r="617" spans="7:18" ht="31" x14ac:dyDescent="0.25">
      <c r="G617" s="51" t="s">
        <v>2</v>
      </c>
      <c r="H617" s="51"/>
      <c r="I617" s="47" t="s">
        <v>0</v>
      </c>
      <c r="J617" s="48">
        <v>200</v>
      </c>
      <c r="K617" s="49">
        <v>19085723</v>
      </c>
      <c r="L617" s="49">
        <v>0</v>
      </c>
      <c r="M617" s="225">
        <f>K617+L617</f>
        <v>19085723</v>
      </c>
      <c r="N617" s="49">
        <v>0</v>
      </c>
      <c r="O617" s="353">
        <v>31372271</v>
      </c>
      <c r="P617" s="353"/>
      <c r="Q617" s="353">
        <v>21103082.850000001</v>
      </c>
      <c r="R617" s="350">
        <f t="shared" si="53"/>
        <v>67.266672693220073</v>
      </c>
    </row>
    <row r="618" spans="7:18" ht="66.75" customHeight="1" x14ac:dyDescent="0.25">
      <c r="G618" s="51" t="s">
        <v>715</v>
      </c>
      <c r="H618" s="51"/>
      <c r="I618" s="47" t="s">
        <v>714</v>
      </c>
      <c r="J618" s="48"/>
      <c r="K618" s="49"/>
      <c r="L618" s="49"/>
      <c r="M618" s="225"/>
      <c r="N618" s="49"/>
      <c r="O618" s="353">
        <f>O619</f>
        <v>1338617</v>
      </c>
      <c r="P618" s="353"/>
      <c r="Q618" s="353">
        <f>Q619</f>
        <v>1338617</v>
      </c>
      <c r="R618" s="350">
        <f t="shared" si="53"/>
        <v>100</v>
      </c>
    </row>
    <row r="619" spans="7:18" x14ac:dyDescent="0.25">
      <c r="G619" s="51" t="s">
        <v>6</v>
      </c>
      <c r="H619" s="51"/>
      <c r="I619" s="47"/>
      <c r="J619" s="48">
        <v>500</v>
      </c>
      <c r="K619" s="49"/>
      <c r="L619" s="49"/>
      <c r="M619" s="225"/>
      <c r="N619" s="49"/>
      <c r="O619" s="353">
        <v>1338617</v>
      </c>
      <c r="P619" s="353"/>
      <c r="Q619" s="353">
        <v>1338617</v>
      </c>
      <c r="R619" s="350">
        <f t="shared" si="53"/>
        <v>100</v>
      </c>
    </row>
    <row r="620" spans="7:18" ht="31" x14ac:dyDescent="0.25">
      <c r="G620" s="51" t="s">
        <v>722</v>
      </c>
      <c r="H620" s="51"/>
      <c r="I620" s="47" t="s">
        <v>721</v>
      </c>
      <c r="J620" s="48"/>
      <c r="K620" s="49"/>
      <c r="L620" s="49"/>
      <c r="M620" s="225"/>
      <c r="N620" s="49"/>
      <c r="O620" s="353">
        <f>O621</f>
        <v>1031725</v>
      </c>
      <c r="P620" s="353"/>
      <c r="Q620" s="353">
        <f>Q621</f>
        <v>1031724.56</v>
      </c>
      <c r="R620" s="350">
        <f t="shared" si="53"/>
        <v>99.999957352976821</v>
      </c>
    </row>
    <row r="621" spans="7:18" x14ac:dyDescent="0.25">
      <c r="G621" s="51" t="s">
        <v>6</v>
      </c>
      <c r="H621" s="51"/>
      <c r="I621" s="47"/>
      <c r="J621" s="48">
        <v>500</v>
      </c>
      <c r="K621" s="49"/>
      <c r="L621" s="49"/>
      <c r="M621" s="225"/>
      <c r="N621" s="49"/>
      <c r="O621" s="353">
        <v>1031725</v>
      </c>
      <c r="P621" s="353"/>
      <c r="Q621" s="353">
        <v>1031724.56</v>
      </c>
      <c r="R621" s="350">
        <f t="shared" si="53"/>
        <v>99.999957352976821</v>
      </c>
    </row>
    <row r="622" spans="7:18" ht="46.5" x14ac:dyDescent="0.25">
      <c r="G622" s="51" t="s">
        <v>458</v>
      </c>
      <c r="H622" s="51"/>
      <c r="I622" s="47" t="s">
        <v>459</v>
      </c>
      <c r="J622" s="48"/>
      <c r="K622" s="49">
        <f>K623</f>
        <v>1534322</v>
      </c>
      <c r="L622" s="49">
        <f>L623</f>
        <v>0</v>
      </c>
      <c r="M622" s="225">
        <f>M623</f>
        <v>1534322</v>
      </c>
      <c r="N622" s="49">
        <f>N623</f>
        <v>0</v>
      </c>
      <c r="O622" s="353">
        <f>O623</f>
        <v>1820012</v>
      </c>
      <c r="P622" s="353"/>
      <c r="Q622" s="353">
        <f>Q623</f>
        <v>843740.45</v>
      </c>
      <c r="R622" s="350">
        <f t="shared" si="53"/>
        <v>46.359059720485355</v>
      </c>
    </row>
    <row r="623" spans="7:18" ht="31" x14ac:dyDescent="0.25">
      <c r="G623" s="51" t="s">
        <v>2</v>
      </c>
      <c r="H623" s="51"/>
      <c r="I623" s="47"/>
      <c r="J623" s="48">
        <v>200</v>
      </c>
      <c r="K623" s="49">
        <v>1534322</v>
      </c>
      <c r="L623" s="49">
        <v>0</v>
      </c>
      <c r="M623" s="225">
        <f>K623+L623</f>
        <v>1534322</v>
      </c>
      <c r="N623" s="49">
        <v>0</v>
      </c>
      <c r="O623" s="353">
        <v>1820012</v>
      </c>
      <c r="P623" s="353"/>
      <c r="Q623" s="353">
        <v>843740.45</v>
      </c>
      <c r="R623" s="350">
        <f t="shared" si="53"/>
        <v>46.359059720485355</v>
      </c>
    </row>
    <row r="624" spans="7:18" ht="62" x14ac:dyDescent="0.25">
      <c r="G624" s="51" t="s">
        <v>718</v>
      </c>
      <c r="H624" s="51"/>
      <c r="I624" s="3" t="s">
        <v>717</v>
      </c>
      <c r="J624" s="48"/>
      <c r="K624" s="49"/>
      <c r="L624" s="49"/>
      <c r="M624" s="225"/>
      <c r="N624" s="49"/>
      <c r="O624" s="353">
        <f>O625</f>
        <v>1338617</v>
      </c>
      <c r="P624" s="353"/>
      <c r="Q624" s="353">
        <f>Q625</f>
        <v>1338617</v>
      </c>
      <c r="R624" s="350">
        <f t="shared" si="53"/>
        <v>100</v>
      </c>
    </row>
    <row r="625" spans="7:18" ht="31" x14ac:dyDescent="0.25">
      <c r="G625" s="51" t="s">
        <v>2</v>
      </c>
      <c r="H625" s="51"/>
      <c r="I625" s="47"/>
      <c r="J625" s="48">
        <v>200</v>
      </c>
      <c r="K625" s="49"/>
      <c r="L625" s="49"/>
      <c r="M625" s="225"/>
      <c r="N625" s="49"/>
      <c r="O625" s="353">
        <v>1338617</v>
      </c>
      <c r="P625" s="353"/>
      <c r="Q625" s="353">
        <v>1338617</v>
      </c>
      <c r="R625" s="350">
        <f t="shared" si="53"/>
        <v>100</v>
      </c>
    </row>
    <row r="626" spans="7:18" s="96" customFormat="1" ht="37" customHeight="1" x14ac:dyDescent="0.25">
      <c r="G626" s="51" t="s">
        <v>453</v>
      </c>
      <c r="H626" s="51"/>
      <c r="I626" s="47" t="s">
        <v>276</v>
      </c>
      <c r="J626" s="48" t="s">
        <v>0</v>
      </c>
      <c r="K626" s="49">
        <f>K627</f>
        <v>8114069</v>
      </c>
      <c r="L626" s="49">
        <f>L627</f>
        <v>0</v>
      </c>
      <c r="M626" s="225">
        <f>M627</f>
        <v>8114069</v>
      </c>
      <c r="N626" s="49">
        <f>N627</f>
        <v>0</v>
      </c>
      <c r="O626" s="353">
        <f>O627</f>
        <v>13441538</v>
      </c>
      <c r="P626" s="353"/>
      <c r="Q626" s="353">
        <f>Q627</f>
        <v>13441538</v>
      </c>
      <c r="R626" s="350">
        <f t="shared" si="53"/>
        <v>100</v>
      </c>
    </row>
    <row r="627" spans="7:18" s="96" customFormat="1" ht="31" x14ac:dyDescent="0.25">
      <c r="G627" s="51" t="s">
        <v>2</v>
      </c>
      <c r="H627" s="51"/>
      <c r="I627" s="47"/>
      <c r="J627" s="48">
        <v>200</v>
      </c>
      <c r="K627" s="49">
        <v>8114069</v>
      </c>
      <c r="L627" s="49">
        <v>0</v>
      </c>
      <c r="M627" s="225">
        <f>K627+L627</f>
        <v>8114069</v>
      </c>
      <c r="N627" s="49"/>
      <c r="O627" s="353">
        <v>13441538</v>
      </c>
      <c r="P627" s="353"/>
      <c r="Q627" s="353">
        <v>13441538</v>
      </c>
      <c r="R627" s="350">
        <f t="shared" si="53"/>
        <v>100</v>
      </c>
    </row>
    <row r="628" spans="7:18" ht="51" customHeight="1" x14ac:dyDescent="0.25">
      <c r="G628" s="51" t="s">
        <v>700</v>
      </c>
      <c r="H628" s="51"/>
      <c r="I628" s="47" t="s">
        <v>716</v>
      </c>
      <c r="J628" s="48"/>
      <c r="K628" s="49">
        <f>K629</f>
        <v>0</v>
      </c>
      <c r="L628" s="49"/>
      <c r="M628" s="225">
        <f>M629</f>
        <v>0</v>
      </c>
      <c r="N628" s="49"/>
      <c r="O628" s="353">
        <f>O629</f>
        <v>25433705</v>
      </c>
      <c r="P628" s="353"/>
      <c r="Q628" s="353">
        <f>Q629</f>
        <v>25433705</v>
      </c>
      <c r="R628" s="350">
        <f t="shared" si="53"/>
        <v>100</v>
      </c>
    </row>
    <row r="629" spans="7:18" ht="34.9" customHeight="1" x14ac:dyDescent="0.25">
      <c r="G629" s="51" t="s">
        <v>2</v>
      </c>
      <c r="H629" s="51"/>
      <c r="I629" s="47"/>
      <c r="J629" s="48">
        <v>200</v>
      </c>
      <c r="K629" s="49"/>
      <c r="L629" s="49"/>
      <c r="M629" s="225"/>
      <c r="N629" s="49"/>
      <c r="O629" s="353">
        <v>25433705</v>
      </c>
      <c r="P629" s="353"/>
      <c r="Q629" s="353">
        <v>25433705</v>
      </c>
      <c r="R629" s="350">
        <f t="shared" si="53"/>
        <v>100</v>
      </c>
    </row>
    <row r="630" spans="7:18" ht="66.650000000000006" customHeight="1" x14ac:dyDescent="0.25">
      <c r="G630" s="51" t="s">
        <v>687</v>
      </c>
      <c r="H630" s="51"/>
      <c r="I630" s="47" t="s">
        <v>688</v>
      </c>
      <c r="J630" s="48"/>
      <c r="K630" s="49"/>
      <c r="L630" s="49"/>
      <c r="M630" s="225"/>
      <c r="N630" s="49"/>
      <c r="O630" s="353">
        <f>O631</f>
        <v>885137</v>
      </c>
      <c r="P630" s="353"/>
      <c r="Q630" s="353">
        <f>Q631</f>
        <v>885134.97</v>
      </c>
      <c r="R630" s="350">
        <f t="shared" si="53"/>
        <v>99.999770656971748</v>
      </c>
    </row>
    <row r="631" spans="7:18" ht="36" customHeight="1" x14ac:dyDescent="0.25">
      <c r="G631" s="51" t="s">
        <v>2</v>
      </c>
      <c r="H631" s="51"/>
      <c r="I631" s="47"/>
      <c r="J631" s="48">
        <v>200</v>
      </c>
      <c r="K631" s="49"/>
      <c r="L631" s="49"/>
      <c r="M631" s="225"/>
      <c r="N631" s="49"/>
      <c r="O631" s="353">
        <v>885137</v>
      </c>
      <c r="P631" s="353"/>
      <c r="Q631" s="353">
        <v>885134.97</v>
      </c>
      <c r="R631" s="350">
        <f t="shared" ref="R631:R683" si="64">Q631/O631*100</f>
        <v>99.999770656971748</v>
      </c>
    </row>
    <row r="632" spans="7:18" ht="64.900000000000006" customHeight="1" x14ac:dyDescent="0.25">
      <c r="G632" s="51" t="s">
        <v>689</v>
      </c>
      <c r="H632" s="51"/>
      <c r="I632" s="3" t="s">
        <v>690</v>
      </c>
      <c r="J632" s="48"/>
      <c r="K632" s="49"/>
      <c r="L632" s="49"/>
      <c r="M632" s="225"/>
      <c r="N632" s="49"/>
      <c r="O632" s="353">
        <f>O633</f>
        <v>5458895</v>
      </c>
      <c r="P632" s="353"/>
      <c r="Q632" s="353">
        <f>Q633</f>
        <v>5458895</v>
      </c>
      <c r="R632" s="350">
        <f t="shared" si="64"/>
        <v>100</v>
      </c>
    </row>
    <row r="633" spans="7:18" ht="34.15" customHeight="1" x14ac:dyDescent="0.25">
      <c r="G633" s="51" t="s">
        <v>2</v>
      </c>
      <c r="H633" s="51"/>
      <c r="I633" s="47"/>
      <c r="J633" s="48">
        <v>200</v>
      </c>
      <c r="K633" s="49"/>
      <c r="L633" s="49"/>
      <c r="M633" s="225"/>
      <c r="N633" s="49"/>
      <c r="O633" s="353">
        <f>1504393+2606402+1348100</f>
        <v>5458895</v>
      </c>
      <c r="P633" s="353"/>
      <c r="Q633" s="353">
        <v>5458895</v>
      </c>
      <c r="R633" s="350">
        <f t="shared" si="64"/>
        <v>100</v>
      </c>
    </row>
    <row r="634" spans="7:18" ht="46.5" x14ac:dyDescent="0.3">
      <c r="G634" s="304" t="s">
        <v>650</v>
      </c>
      <c r="H634" s="65"/>
      <c r="I634" s="47" t="s">
        <v>277</v>
      </c>
      <c r="J634" s="48"/>
      <c r="K634" s="49">
        <f>K635+K639</f>
        <v>7974400</v>
      </c>
      <c r="L634" s="49">
        <f>L635+L639</f>
        <v>0</v>
      </c>
      <c r="M634" s="225">
        <f>M635+M639</f>
        <v>7672000</v>
      </c>
      <c r="N634" s="49">
        <f>N635+N639</f>
        <v>0</v>
      </c>
      <c r="O634" s="353">
        <f>O635+O639</f>
        <v>8575000</v>
      </c>
      <c r="P634" s="353"/>
      <c r="Q634" s="353">
        <f>Q635+Q639</f>
        <v>8477219.3300000001</v>
      </c>
      <c r="R634" s="350">
        <f t="shared" si="64"/>
        <v>98.859700641399414</v>
      </c>
    </row>
    <row r="635" spans="7:18" ht="46.5" x14ac:dyDescent="0.25">
      <c r="G635" s="114" t="s">
        <v>279</v>
      </c>
      <c r="H635" s="114"/>
      <c r="I635" s="64" t="s">
        <v>278</v>
      </c>
      <c r="J635" s="48"/>
      <c r="K635" s="49">
        <f>K636</f>
        <v>7963000</v>
      </c>
      <c r="L635" s="49"/>
      <c r="M635" s="225">
        <f t="shared" ref="M635:Q635" si="65">M636</f>
        <v>7660000</v>
      </c>
      <c r="N635" s="49">
        <f t="shared" si="65"/>
        <v>0</v>
      </c>
      <c r="O635" s="353">
        <f t="shared" si="65"/>
        <v>8568000</v>
      </c>
      <c r="P635" s="353"/>
      <c r="Q635" s="353">
        <f t="shared" si="65"/>
        <v>8475269.3300000001</v>
      </c>
      <c r="R635" s="350">
        <f t="shared" si="64"/>
        <v>98.917709267040152</v>
      </c>
    </row>
    <row r="636" spans="7:18" ht="60" customHeight="1" x14ac:dyDescent="0.35">
      <c r="G636" s="66" t="s">
        <v>568</v>
      </c>
      <c r="H636" s="66"/>
      <c r="I636" s="47" t="s">
        <v>280</v>
      </c>
      <c r="J636" s="48"/>
      <c r="K636" s="49">
        <f>K638</f>
        <v>7963000</v>
      </c>
      <c r="L636" s="49"/>
      <c r="M636" s="225">
        <f>M638</f>
        <v>7660000</v>
      </c>
      <c r="N636" s="49">
        <f>N638</f>
        <v>0</v>
      </c>
      <c r="O636" s="353">
        <f>O637+O638</f>
        <v>8568000</v>
      </c>
      <c r="P636" s="353"/>
      <c r="Q636" s="353">
        <f>Q637+Q638</f>
        <v>8475269.3300000001</v>
      </c>
      <c r="R636" s="350">
        <f t="shared" si="64"/>
        <v>98.917709267040152</v>
      </c>
    </row>
    <row r="637" spans="7:18" ht="38.25" customHeight="1" x14ac:dyDescent="0.35">
      <c r="G637" s="51" t="s">
        <v>2</v>
      </c>
      <c r="H637" s="66"/>
      <c r="I637" s="47"/>
      <c r="J637" s="48">
        <v>200</v>
      </c>
      <c r="K637" s="49"/>
      <c r="L637" s="49"/>
      <c r="M637" s="225"/>
      <c r="N637" s="49"/>
      <c r="O637" s="353">
        <f>8218000+350000</f>
        <v>8568000</v>
      </c>
      <c r="P637" s="353"/>
      <c r="Q637" s="353">
        <v>8475269.3300000001</v>
      </c>
      <c r="R637" s="350">
        <f t="shared" si="64"/>
        <v>98.917709267040152</v>
      </c>
    </row>
    <row r="638" spans="7:18" x14ac:dyDescent="0.25">
      <c r="G638" s="51" t="s">
        <v>1</v>
      </c>
      <c r="H638" s="51"/>
      <c r="I638" s="52"/>
      <c r="J638" s="48">
        <v>800</v>
      </c>
      <c r="K638" s="49">
        <v>7963000</v>
      </c>
      <c r="L638" s="49"/>
      <c r="M638" s="225">
        <v>7660000</v>
      </c>
      <c r="N638" s="49"/>
      <c r="O638" s="353">
        <v>0</v>
      </c>
      <c r="P638" s="353"/>
      <c r="Q638" s="353">
        <v>0</v>
      </c>
      <c r="R638" s="350">
        <v>0</v>
      </c>
    </row>
    <row r="639" spans="7:18" ht="46.5" x14ac:dyDescent="0.25">
      <c r="G639" s="63" t="s">
        <v>282</v>
      </c>
      <c r="H639" s="63"/>
      <c r="I639" s="64" t="s">
        <v>281</v>
      </c>
      <c r="J639" s="48"/>
      <c r="K639" s="49">
        <f>K640</f>
        <v>11400</v>
      </c>
      <c r="L639" s="49"/>
      <c r="M639" s="225">
        <f t="shared" ref="M639:Q640" si="66">M640</f>
        <v>12000</v>
      </c>
      <c r="N639" s="49">
        <f t="shared" si="66"/>
        <v>0</v>
      </c>
      <c r="O639" s="353">
        <f t="shared" si="66"/>
        <v>7000</v>
      </c>
      <c r="P639" s="353"/>
      <c r="Q639" s="353">
        <f t="shared" si="66"/>
        <v>1950</v>
      </c>
      <c r="R639" s="350">
        <f t="shared" si="64"/>
        <v>27.857142857142858</v>
      </c>
    </row>
    <row r="640" spans="7:18" s="96" customFormat="1" ht="62" x14ac:dyDescent="0.25">
      <c r="G640" s="111" t="s">
        <v>92</v>
      </c>
      <c r="H640" s="111"/>
      <c r="I640" s="47" t="s">
        <v>283</v>
      </c>
      <c r="J640" s="48" t="s">
        <v>0</v>
      </c>
      <c r="K640" s="49">
        <f>K641</f>
        <v>11400</v>
      </c>
      <c r="L640" s="49"/>
      <c r="M640" s="225">
        <f t="shared" si="66"/>
        <v>12000</v>
      </c>
      <c r="N640" s="49">
        <f t="shared" si="66"/>
        <v>0</v>
      </c>
      <c r="O640" s="353">
        <f t="shared" si="66"/>
        <v>7000</v>
      </c>
      <c r="P640" s="353"/>
      <c r="Q640" s="353">
        <f t="shared" si="66"/>
        <v>1950</v>
      </c>
      <c r="R640" s="350">
        <f t="shared" si="64"/>
        <v>27.857142857142858</v>
      </c>
    </row>
    <row r="641" spans="7:18" s="96" customFormat="1" ht="31" x14ac:dyDescent="0.25">
      <c r="G641" s="51" t="s">
        <v>5</v>
      </c>
      <c r="H641" s="142"/>
      <c r="I641" s="143" t="s">
        <v>0</v>
      </c>
      <c r="J641" s="144">
        <v>300</v>
      </c>
      <c r="K641" s="145">
        <v>11400</v>
      </c>
      <c r="L641" s="145"/>
      <c r="M641" s="232">
        <v>12000</v>
      </c>
      <c r="N641" s="49"/>
      <c r="O641" s="353">
        <v>7000</v>
      </c>
      <c r="P641" s="353"/>
      <c r="Q641" s="353">
        <v>1950</v>
      </c>
      <c r="R641" s="350">
        <f t="shared" si="64"/>
        <v>27.857142857142858</v>
      </c>
    </row>
    <row r="642" spans="7:18" ht="45" x14ac:dyDescent="0.25">
      <c r="G642" s="2" t="s">
        <v>677</v>
      </c>
      <c r="H642" s="115"/>
      <c r="I642" s="60" t="s">
        <v>285</v>
      </c>
      <c r="J642" s="116" t="s">
        <v>0</v>
      </c>
      <c r="K642" s="121" t="e">
        <f>K643</f>
        <v>#REF!</v>
      </c>
      <c r="L642" s="121" t="e">
        <f>L643</f>
        <v>#REF!</v>
      </c>
      <c r="M642" s="226" t="e">
        <f>M643</f>
        <v>#REF!</v>
      </c>
      <c r="N642" s="121" t="e">
        <f>N643</f>
        <v>#REF!</v>
      </c>
      <c r="O642" s="352">
        <f>O643</f>
        <v>467570</v>
      </c>
      <c r="P642" s="352"/>
      <c r="Q642" s="352">
        <f>Q643</f>
        <v>450243.13</v>
      </c>
      <c r="R642" s="350">
        <f t="shared" si="64"/>
        <v>96.294272515345298</v>
      </c>
    </row>
    <row r="643" spans="7:18" ht="62" x14ac:dyDescent="0.25">
      <c r="G643" s="14" t="s">
        <v>678</v>
      </c>
      <c r="H643" s="51"/>
      <c r="I643" s="47" t="s">
        <v>286</v>
      </c>
      <c r="J643" s="48" t="s">
        <v>0</v>
      </c>
      <c r="K643" s="49" t="e">
        <f>SUM(K649+K654)</f>
        <v>#REF!</v>
      </c>
      <c r="L643" s="49" t="e">
        <f>SUM(L649+L654)</f>
        <v>#REF!</v>
      </c>
      <c r="M643" s="225" t="e">
        <f>SUM(M649+M654)</f>
        <v>#REF!</v>
      </c>
      <c r="N643" s="49" t="e">
        <f>SUM(N649+N654)</f>
        <v>#REF!</v>
      </c>
      <c r="O643" s="353">
        <f>O649+O654</f>
        <v>467570</v>
      </c>
      <c r="P643" s="353"/>
      <c r="Q643" s="353">
        <f>Q649+Q654</f>
        <v>450243.13</v>
      </c>
      <c r="R643" s="350">
        <f t="shared" si="64"/>
        <v>96.294272515345298</v>
      </c>
    </row>
    <row r="644" spans="7:18" hidden="1" x14ac:dyDescent="0.25">
      <c r="G644" s="63" t="s">
        <v>312</v>
      </c>
      <c r="H644" s="63"/>
      <c r="I644" s="64" t="s">
        <v>287</v>
      </c>
      <c r="J644" s="48"/>
      <c r="K644" s="49">
        <f>K645</f>
        <v>0</v>
      </c>
      <c r="L644" s="49"/>
      <c r="M644" s="225">
        <f>M645</f>
        <v>0</v>
      </c>
      <c r="N644" s="49"/>
      <c r="O644" s="353"/>
      <c r="P644" s="353"/>
      <c r="Q644" s="353"/>
      <c r="R644" s="350" t="e">
        <f t="shared" si="64"/>
        <v>#DIV/0!</v>
      </c>
    </row>
    <row r="645" spans="7:18" ht="31" hidden="1" x14ac:dyDescent="0.25">
      <c r="G645" s="51" t="s">
        <v>315</v>
      </c>
      <c r="H645" s="51"/>
      <c r="I645" s="47" t="s">
        <v>288</v>
      </c>
      <c r="J645" s="48"/>
      <c r="K645" s="49">
        <f>K646+K648+K647</f>
        <v>0</v>
      </c>
      <c r="L645" s="49"/>
      <c r="M645" s="225">
        <f>M646+M648+M647</f>
        <v>0</v>
      </c>
      <c r="N645" s="49"/>
      <c r="O645" s="353"/>
      <c r="P645" s="353"/>
      <c r="Q645" s="353"/>
      <c r="R645" s="350" t="e">
        <f t="shared" si="64"/>
        <v>#DIV/0!</v>
      </c>
    </row>
    <row r="646" spans="7:18" ht="31" hidden="1" x14ac:dyDescent="0.25">
      <c r="G646" s="51" t="s">
        <v>2</v>
      </c>
      <c r="H646" s="51"/>
      <c r="I646" s="79"/>
      <c r="J646" s="48">
        <v>200</v>
      </c>
      <c r="K646" s="49">
        <v>0</v>
      </c>
      <c r="L646" s="49"/>
      <c r="M646" s="225">
        <v>0</v>
      </c>
      <c r="N646" s="49"/>
      <c r="O646" s="353"/>
      <c r="P646" s="353"/>
      <c r="Q646" s="353"/>
      <c r="R646" s="350" t="e">
        <f t="shared" si="64"/>
        <v>#DIV/0!</v>
      </c>
    </row>
    <row r="647" spans="7:18" hidden="1" x14ac:dyDescent="0.25">
      <c r="G647" s="51" t="s">
        <v>5</v>
      </c>
      <c r="H647" s="51"/>
      <c r="I647" s="79"/>
      <c r="J647" s="48">
        <v>300</v>
      </c>
      <c r="K647" s="49">
        <v>0</v>
      </c>
      <c r="L647" s="49"/>
      <c r="M647" s="225">
        <v>0</v>
      </c>
      <c r="N647" s="49"/>
      <c r="O647" s="353"/>
      <c r="P647" s="353"/>
      <c r="Q647" s="353"/>
      <c r="R647" s="350" t="e">
        <f t="shared" si="64"/>
        <v>#DIV/0!</v>
      </c>
    </row>
    <row r="648" spans="7:18" hidden="1" x14ac:dyDescent="0.25">
      <c r="G648" s="51" t="s">
        <v>1</v>
      </c>
      <c r="H648" s="51"/>
      <c r="I648" s="79"/>
      <c r="J648" s="48">
        <v>800</v>
      </c>
      <c r="K648" s="49"/>
      <c r="L648" s="49"/>
      <c r="M648" s="225"/>
      <c r="N648" s="49"/>
      <c r="O648" s="353"/>
      <c r="P648" s="353"/>
      <c r="Q648" s="353"/>
      <c r="R648" s="350" t="e">
        <f t="shared" si="64"/>
        <v>#DIV/0!</v>
      </c>
    </row>
    <row r="649" spans="7:18" ht="31" x14ac:dyDescent="0.25">
      <c r="G649" s="63" t="s">
        <v>598</v>
      </c>
      <c r="H649" s="63"/>
      <c r="I649" s="64" t="s">
        <v>287</v>
      </c>
      <c r="J649" s="48"/>
      <c r="K649" s="49">
        <f>SUM(K652)</f>
        <v>5580</v>
      </c>
      <c r="L649" s="49">
        <f>SUM(L652)</f>
        <v>0</v>
      </c>
      <c r="M649" s="225">
        <f>SUM(M652)</f>
        <v>5580</v>
      </c>
      <c r="N649" s="49">
        <f>SUM(N652)</f>
        <v>0</v>
      </c>
      <c r="O649" s="358">
        <f>SUM(O652)</f>
        <v>404268</v>
      </c>
      <c r="P649" s="358"/>
      <c r="Q649" s="358">
        <f>SUM(Q652)</f>
        <v>404267.5</v>
      </c>
      <c r="R649" s="350">
        <f t="shared" si="64"/>
        <v>99.999876319669141</v>
      </c>
    </row>
    <row r="650" spans="7:18" ht="31" hidden="1" x14ac:dyDescent="0.25">
      <c r="G650" s="51" t="s">
        <v>314</v>
      </c>
      <c r="H650" s="51"/>
      <c r="I650" s="47" t="s">
        <v>313</v>
      </c>
      <c r="J650" s="48"/>
      <c r="K650" s="49">
        <f>K651</f>
        <v>0</v>
      </c>
      <c r="L650" s="49"/>
      <c r="M650" s="225">
        <f>M651</f>
        <v>0</v>
      </c>
      <c r="N650" s="49"/>
      <c r="O650" s="353"/>
      <c r="P650" s="353"/>
      <c r="Q650" s="353"/>
      <c r="R650" s="350" t="e">
        <f t="shared" si="64"/>
        <v>#DIV/0!</v>
      </c>
    </row>
    <row r="651" spans="7:18" ht="40.5" hidden="1" customHeight="1" x14ac:dyDescent="0.25">
      <c r="G651" s="51" t="s">
        <v>2</v>
      </c>
      <c r="H651" s="51"/>
      <c r="I651" s="47"/>
      <c r="J651" s="48">
        <v>200</v>
      </c>
      <c r="K651" s="49"/>
      <c r="L651" s="49"/>
      <c r="M651" s="225"/>
      <c r="N651" s="49"/>
      <c r="O651" s="353"/>
      <c r="P651" s="353"/>
      <c r="Q651" s="353"/>
      <c r="R651" s="350" t="e">
        <f t="shared" si="64"/>
        <v>#DIV/0!</v>
      </c>
    </row>
    <row r="652" spans="7:18" ht="31" x14ac:dyDescent="0.25">
      <c r="G652" s="51" t="s">
        <v>683</v>
      </c>
      <c r="H652" s="51"/>
      <c r="I652" s="47" t="s">
        <v>288</v>
      </c>
      <c r="J652" s="48"/>
      <c r="K652" s="49">
        <f>K653</f>
        <v>5580</v>
      </c>
      <c r="L652" s="49"/>
      <c r="M652" s="225">
        <f>M653</f>
        <v>5580</v>
      </c>
      <c r="N652" s="49">
        <f>N653</f>
        <v>0</v>
      </c>
      <c r="O652" s="353">
        <f>O653</f>
        <v>404268</v>
      </c>
      <c r="P652" s="353"/>
      <c r="Q652" s="353">
        <f>Q653</f>
        <v>404267.5</v>
      </c>
      <c r="R652" s="350">
        <f t="shared" si="64"/>
        <v>99.999876319669141</v>
      </c>
    </row>
    <row r="653" spans="7:18" ht="31" x14ac:dyDescent="0.25">
      <c r="G653" s="51" t="s">
        <v>2</v>
      </c>
      <c r="H653" s="51"/>
      <c r="I653" s="47"/>
      <c r="J653" s="48">
        <v>200</v>
      </c>
      <c r="K653" s="49">
        <v>5580</v>
      </c>
      <c r="L653" s="49"/>
      <c r="M653" s="225">
        <v>5580</v>
      </c>
      <c r="N653" s="49"/>
      <c r="O653" s="353">
        <v>404268</v>
      </c>
      <c r="P653" s="353"/>
      <c r="Q653" s="353">
        <v>404267.5</v>
      </c>
      <c r="R653" s="350">
        <f t="shared" si="64"/>
        <v>99.999876319669141</v>
      </c>
    </row>
    <row r="654" spans="7:18" ht="31" x14ac:dyDescent="0.25">
      <c r="G654" s="63" t="s">
        <v>599</v>
      </c>
      <c r="H654" s="51"/>
      <c r="I654" s="64" t="s">
        <v>399</v>
      </c>
      <c r="J654" s="48"/>
      <c r="K654" s="49" t="e">
        <f>SUM(#REF!+K655+#REF!+#REF!+#REF!)</f>
        <v>#REF!</v>
      </c>
      <c r="L654" s="49" t="e">
        <f>SUM(#REF!+L655+#REF!+#REF!)</f>
        <v>#REF!</v>
      </c>
      <c r="M654" s="225" t="e">
        <f>SUM(#REF!+M655+#REF!+#REF!)</f>
        <v>#REF!</v>
      </c>
      <c r="N654" s="49" t="e">
        <f>SUM(#REF!+N655+#REF!+#REF!+#REF!)</f>
        <v>#REF!</v>
      </c>
      <c r="O654" s="358">
        <f>O655</f>
        <v>63302</v>
      </c>
      <c r="P654" s="358"/>
      <c r="Q654" s="358">
        <f>Q655</f>
        <v>45975.63</v>
      </c>
      <c r="R654" s="350">
        <f t="shared" si="64"/>
        <v>72.629032258064512</v>
      </c>
    </row>
    <row r="655" spans="7:18" s="96" customFormat="1" ht="31" x14ac:dyDescent="0.25">
      <c r="G655" s="51" t="s">
        <v>401</v>
      </c>
      <c r="H655" s="51"/>
      <c r="I655" s="47" t="s">
        <v>400</v>
      </c>
      <c r="J655" s="48"/>
      <c r="K655" s="49">
        <f>K656</f>
        <v>41258</v>
      </c>
      <c r="L655" s="49"/>
      <c r="M655" s="225">
        <f>M656</f>
        <v>13768</v>
      </c>
      <c r="N655" s="49">
        <f>N656</f>
        <v>0</v>
      </c>
      <c r="O655" s="353">
        <f>O656</f>
        <v>63302</v>
      </c>
      <c r="P655" s="353"/>
      <c r="Q655" s="353">
        <f>Q656</f>
        <v>45975.63</v>
      </c>
      <c r="R655" s="350">
        <f t="shared" si="64"/>
        <v>72.629032258064512</v>
      </c>
    </row>
    <row r="656" spans="7:18" s="96" customFormat="1" ht="31" x14ac:dyDescent="0.25">
      <c r="G656" s="51" t="s">
        <v>2</v>
      </c>
      <c r="H656" s="51"/>
      <c r="I656" s="47"/>
      <c r="J656" s="48">
        <v>200</v>
      </c>
      <c r="K656" s="49">
        <v>41258</v>
      </c>
      <c r="L656" s="49"/>
      <c r="M656" s="225">
        <v>13768</v>
      </c>
      <c r="N656" s="49"/>
      <c r="O656" s="353">
        <f>55636+7666</f>
        <v>63302</v>
      </c>
      <c r="P656" s="353"/>
      <c r="Q656" s="353">
        <v>45975.63</v>
      </c>
      <c r="R656" s="350">
        <f t="shared" si="64"/>
        <v>72.629032258064512</v>
      </c>
    </row>
    <row r="657" spans="7:18" ht="60" x14ac:dyDescent="0.25">
      <c r="G657" s="2" t="s">
        <v>679</v>
      </c>
      <c r="H657" s="51"/>
      <c r="I657" s="109" t="s">
        <v>361</v>
      </c>
      <c r="J657" s="48"/>
      <c r="K657" s="121">
        <f t="shared" ref="K657:Q660" si="67">K658</f>
        <v>200000</v>
      </c>
      <c r="L657" s="49">
        <f t="shared" si="67"/>
        <v>0</v>
      </c>
      <c r="M657" s="225">
        <f t="shared" si="67"/>
        <v>200000</v>
      </c>
      <c r="N657" s="49">
        <f t="shared" si="67"/>
        <v>0</v>
      </c>
      <c r="O657" s="352">
        <f t="shared" si="67"/>
        <v>70000</v>
      </c>
      <c r="P657" s="352"/>
      <c r="Q657" s="352">
        <f t="shared" si="67"/>
        <v>70000</v>
      </c>
      <c r="R657" s="350">
        <f t="shared" si="64"/>
        <v>100</v>
      </c>
    </row>
    <row r="658" spans="7:18" ht="70" customHeight="1" x14ac:dyDescent="0.25">
      <c r="G658" s="14" t="s">
        <v>680</v>
      </c>
      <c r="H658" s="51"/>
      <c r="I658" s="112" t="s">
        <v>362</v>
      </c>
      <c r="J658" s="48"/>
      <c r="K658" s="49">
        <f t="shared" si="67"/>
        <v>200000</v>
      </c>
      <c r="L658" s="49">
        <f t="shared" si="67"/>
        <v>0</v>
      </c>
      <c r="M658" s="225">
        <f t="shared" si="67"/>
        <v>200000</v>
      </c>
      <c r="N658" s="49">
        <f t="shared" si="67"/>
        <v>0</v>
      </c>
      <c r="O658" s="353">
        <f t="shared" si="67"/>
        <v>70000</v>
      </c>
      <c r="P658" s="353"/>
      <c r="Q658" s="353">
        <f t="shared" si="67"/>
        <v>70000</v>
      </c>
      <c r="R658" s="350">
        <f t="shared" si="64"/>
        <v>100</v>
      </c>
    </row>
    <row r="659" spans="7:18" ht="62" x14ac:dyDescent="0.25">
      <c r="G659" s="114" t="s">
        <v>368</v>
      </c>
      <c r="H659" s="51"/>
      <c r="I659" s="146" t="s">
        <v>363</v>
      </c>
      <c r="J659" s="48"/>
      <c r="K659" s="49">
        <f t="shared" si="67"/>
        <v>200000</v>
      </c>
      <c r="L659" s="49">
        <f t="shared" si="67"/>
        <v>0</v>
      </c>
      <c r="M659" s="225">
        <f t="shared" si="67"/>
        <v>200000</v>
      </c>
      <c r="N659" s="49">
        <f t="shared" si="67"/>
        <v>0</v>
      </c>
      <c r="O659" s="358">
        <f t="shared" si="67"/>
        <v>70000</v>
      </c>
      <c r="P659" s="358"/>
      <c r="Q659" s="358">
        <f t="shared" si="67"/>
        <v>70000</v>
      </c>
      <c r="R659" s="350">
        <f t="shared" si="64"/>
        <v>100</v>
      </c>
    </row>
    <row r="660" spans="7:18" ht="37" customHeight="1" x14ac:dyDescent="0.25">
      <c r="G660" s="147" t="s">
        <v>364</v>
      </c>
      <c r="H660" s="51"/>
      <c r="I660" s="112" t="s">
        <v>431</v>
      </c>
      <c r="J660" s="48"/>
      <c r="K660" s="49">
        <f t="shared" si="67"/>
        <v>200000</v>
      </c>
      <c r="L660" s="49">
        <f t="shared" si="67"/>
        <v>0</v>
      </c>
      <c r="M660" s="225">
        <f t="shared" si="67"/>
        <v>200000</v>
      </c>
      <c r="N660" s="49">
        <f t="shared" si="67"/>
        <v>0</v>
      </c>
      <c r="O660" s="353">
        <f t="shared" si="67"/>
        <v>70000</v>
      </c>
      <c r="P660" s="353"/>
      <c r="Q660" s="353">
        <f t="shared" si="67"/>
        <v>70000</v>
      </c>
      <c r="R660" s="350">
        <f t="shared" si="64"/>
        <v>100</v>
      </c>
    </row>
    <row r="661" spans="7:18" ht="31" x14ac:dyDescent="0.25">
      <c r="G661" s="111" t="s">
        <v>2</v>
      </c>
      <c r="H661" s="51"/>
      <c r="I661" s="47"/>
      <c r="J661" s="48">
        <v>200</v>
      </c>
      <c r="K661" s="49">
        <v>200000</v>
      </c>
      <c r="L661" s="49">
        <v>0</v>
      </c>
      <c r="M661" s="225">
        <f>K661+L661</f>
        <v>200000</v>
      </c>
      <c r="N661" s="49"/>
      <c r="O661" s="353">
        <v>70000</v>
      </c>
      <c r="P661" s="353"/>
      <c r="Q661" s="353">
        <v>70000</v>
      </c>
      <c r="R661" s="350">
        <f t="shared" si="64"/>
        <v>100</v>
      </c>
    </row>
    <row r="662" spans="7:18" x14ac:dyDescent="0.25">
      <c r="G662" s="115" t="s">
        <v>8</v>
      </c>
      <c r="H662" s="51"/>
      <c r="I662" s="60" t="s">
        <v>293</v>
      </c>
      <c r="J662" s="48"/>
      <c r="K662" s="121">
        <f>K663+K672+K675+K677+K685+K694+K697+K665</f>
        <v>21044514</v>
      </c>
      <c r="L662" s="49"/>
      <c r="M662" s="226">
        <f>M663+M672+M675+M677+M685+M694+M697</f>
        <v>20719427</v>
      </c>
      <c r="N662" s="121">
        <f>N663+N672+N675+N677+N685+N694+N697+N665</f>
        <v>0</v>
      </c>
      <c r="O662" s="352">
        <f>O663+O672+O675+O677+O685+O694+O697+O665+O690+O692+O682+O667</f>
        <v>26477066</v>
      </c>
      <c r="P662" s="352"/>
      <c r="Q662" s="352">
        <f>Q663+Q672+Q675+Q677+Q685+Q694+Q697+Q665+Q690+Q692+Q682+Q667</f>
        <v>26390206.579999998</v>
      </c>
      <c r="R662" s="350">
        <f t="shared" si="64"/>
        <v>99.671944693569898</v>
      </c>
    </row>
    <row r="663" spans="7:18" s="96" customFormat="1" ht="62" x14ac:dyDescent="0.25">
      <c r="G663" s="51" t="s">
        <v>323</v>
      </c>
      <c r="H663" s="51"/>
      <c r="I663" s="47" t="s">
        <v>322</v>
      </c>
      <c r="J663" s="116"/>
      <c r="K663" s="49">
        <f>K664</f>
        <v>1765</v>
      </c>
      <c r="L663" s="121"/>
      <c r="M663" s="225">
        <f>M664</f>
        <v>1645</v>
      </c>
      <c r="N663" s="49">
        <f>N664</f>
        <v>0</v>
      </c>
      <c r="O663" s="353">
        <f>O664</f>
        <v>307</v>
      </c>
      <c r="P663" s="353"/>
      <c r="Q663" s="353">
        <f>Q664</f>
        <v>0</v>
      </c>
      <c r="R663" s="350">
        <f t="shared" si="64"/>
        <v>0</v>
      </c>
    </row>
    <row r="664" spans="7:18" s="96" customFormat="1" ht="31" x14ac:dyDescent="0.25">
      <c r="G664" s="51" t="s">
        <v>2</v>
      </c>
      <c r="H664" s="51"/>
      <c r="I664" s="60"/>
      <c r="J664" s="48">
        <v>200</v>
      </c>
      <c r="K664" s="49">
        <v>1765</v>
      </c>
      <c r="L664" s="49"/>
      <c r="M664" s="225">
        <v>1645</v>
      </c>
      <c r="N664" s="49"/>
      <c r="O664" s="353">
        <v>307</v>
      </c>
      <c r="P664" s="353"/>
      <c r="Q664" s="353">
        <v>0</v>
      </c>
      <c r="R664" s="350">
        <f t="shared" si="64"/>
        <v>0</v>
      </c>
    </row>
    <row r="665" spans="7:18" s="96" customFormat="1" ht="31" hidden="1" x14ac:dyDescent="0.25">
      <c r="G665" s="51" t="s">
        <v>518</v>
      </c>
      <c r="H665" s="51"/>
      <c r="I665" s="47" t="s">
        <v>517</v>
      </c>
      <c r="J665" s="48"/>
      <c r="K665" s="49">
        <f>K666</f>
        <v>413740</v>
      </c>
      <c r="L665" s="49"/>
      <c r="M665" s="225"/>
      <c r="N665" s="49">
        <f>N666</f>
        <v>0</v>
      </c>
      <c r="O665" s="353">
        <f>O666</f>
        <v>0</v>
      </c>
      <c r="P665" s="353"/>
      <c r="Q665" s="353"/>
      <c r="R665" s="350" t="e">
        <f t="shared" si="64"/>
        <v>#DIV/0!</v>
      </c>
    </row>
    <row r="666" spans="7:18" s="96" customFormat="1" ht="31" hidden="1" x14ac:dyDescent="0.25">
      <c r="G666" s="51" t="s">
        <v>2</v>
      </c>
      <c r="H666" s="51"/>
      <c r="I666" s="60"/>
      <c r="J666" s="48">
        <v>200</v>
      </c>
      <c r="K666" s="49">
        <v>413740</v>
      </c>
      <c r="L666" s="49"/>
      <c r="M666" s="225"/>
      <c r="N666" s="49">
        <v>0</v>
      </c>
      <c r="O666" s="353"/>
      <c r="P666" s="353"/>
      <c r="Q666" s="353"/>
      <c r="R666" s="350" t="e">
        <f t="shared" si="64"/>
        <v>#DIV/0!</v>
      </c>
    </row>
    <row r="667" spans="7:18" s="96" customFormat="1" ht="31" x14ac:dyDescent="0.25">
      <c r="G667" s="51" t="s">
        <v>622</v>
      </c>
      <c r="H667" s="51"/>
      <c r="I667" s="3" t="s">
        <v>723</v>
      </c>
      <c r="J667" s="48"/>
      <c r="K667" s="49"/>
      <c r="L667" s="49"/>
      <c r="M667" s="225"/>
      <c r="N667" s="49"/>
      <c r="O667" s="353">
        <f>O668+O669+O670+O671</f>
        <v>788965</v>
      </c>
      <c r="P667" s="353"/>
      <c r="Q667" s="353">
        <f>Q668+Q669+Q670+Q671</f>
        <v>788965</v>
      </c>
      <c r="R667" s="350">
        <f t="shared" si="64"/>
        <v>100</v>
      </c>
    </row>
    <row r="668" spans="7:18" s="96" customFormat="1" ht="77.5" x14ac:dyDescent="0.25">
      <c r="G668" s="51" t="s">
        <v>3</v>
      </c>
      <c r="H668" s="51"/>
      <c r="I668" s="60"/>
      <c r="J668" s="48">
        <v>100</v>
      </c>
      <c r="K668" s="49"/>
      <c r="L668" s="49"/>
      <c r="M668" s="225"/>
      <c r="N668" s="49"/>
      <c r="O668" s="353">
        <v>662201</v>
      </c>
      <c r="P668" s="353"/>
      <c r="Q668" s="353">
        <v>662201</v>
      </c>
      <c r="R668" s="350">
        <f t="shared" si="64"/>
        <v>100</v>
      </c>
    </row>
    <row r="669" spans="7:18" s="96" customFormat="1" ht="31" x14ac:dyDescent="0.25">
      <c r="G669" s="51" t="s">
        <v>5</v>
      </c>
      <c r="H669" s="51"/>
      <c r="I669" s="60"/>
      <c r="J669" s="48">
        <v>300</v>
      </c>
      <c r="K669" s="49"/>
      <c r="L669" s="49"/>
      <c r="M669" s="225"/>
      <c r="N669" s="49"/>
      <c r="O669" s="353">
        <v>20000</v>
      </c>
      <c r="P669" s="353"/>
      <c r="Q669" s="353">
        <v>20000</v>
      </c>
      <c r="R669" s="350">
        <f t="shared" si="64"/>
        <v>100</v>
      </c>
    </row>
    <row r="670" spans="7:18" s="96" customFormat="1" x14ac:dyDescent="0.25">
      <c r="G670" s="51" t="s">
        <v>6</v>
      </c>
      <c r="H670" s="51"/>
      <c r="I670" s="60"/>
      <c r="J670" s="48">
        <v>500</v>
      </c>
      <c r="K670" s="49"/>
      <c r="L670" s="49"/>
      <c r="M670" s="225"/>
      <c r="N670" s="49"/>
      <c r="O670" s="353">
        <v>61194</v>
      </c>
      <c r="P670" s="353"/>
      <c r="Q670" s="353">
        <v>61194</v>
      </c>
      <c r="R670" s="350">
        <f t="shared" si="64"/>
        <v>100</v>
      </c>
    </row>
    <row r="671" spans="7:18" s="96" customFormat="1" ht="46.5" x14ac:dyDescent="0.25">
      <c r="G671" s="51" t="s">
        <v>4</v>
      </c>
      <c r="H671" s="51"/>
      <c r="I671" s="60"/>
      <c r="J671" s="48">
        <v>600</v>
      </c>
      <c r="K671" s="49"/>
      <c r="L671" s="49"/>
      <c r="M671" s="225"/>
      <c r="N671" s="49"/>
      <c r="O671" s="353">
        <v>45570</v>
      </c>
      <c r="P671" s="353"/>
      <c r="Q671" s="353">
        <v>45570</v>
      </c>
      <c r="R671" s="350">
        <f t="shared" si="64"/>
        <v>100</v>
      </c>
    </row>
    <row r="672" spans="7:18" s="96" customFormat="1" ht="77.5" x14ac:dyDescent="0.25">
      <c r="G672" s="51" t="s">
        <v>71</v>
      </c>
      <c r="H672" s="51"/>
      <c r="I672" s="47" t="s">
        <v>294</v>
      </c>
      <c r="J672" s="48"/>
      <c r="K672" s="49">
        <f>K673+K674</f>
        <v>977978</v>
      </c>
      <c r="L672" s="49"/>
      <c r="M672" s="225">
        <f>M673+M674</f>
        <v>1543588</v>
      </c>
      <c r="N672" s="49">
        <f>N673+N674</f>
        <v>0</v>
      </c>
      <c r="O672" s="353">
        <f>O673+O674</f>
        <v>992449</v>
      </c>
      <c r="P672" s="353"/>
      <c r="Q672" s="353">
        <f>Q673+Q674</f>
        <v>977128.5</v>
      </c>
      <c r="R672" s="350">
        <f t="shared" si="64"/>
        <v>98.456293472007133</v>
      </c>
    </row>
    <row r="673" spans="7:18" s="96" customFormat="1" ht="77.5" x14ac:dyDescent="0.25">
      <c r="G673" s="51" t="s">
        <v>3</v>
      </c>
      <c r="H673" s="51"/>
      <c r="I673" s="47" t="s">
        <v>0</v>
      </c>
      <c r="J673" s="48">
        <v>100</v>
      </c>
      <c r="K673" s="49">
        <v>743452</v>
      </c>
      <c r="L673" s="49"/>
      <c r="M673" s="225">
        <v>1105241</v>
      </c>
      <c r="N673" s="49"/>
      <c r="O673" s="353">
        <f>700062+64100+23720</f>
        <v>787882</v>
      </c>
      <c r="P673" s="353"/>
      <c r="Q673" s="353">
        <v>784090.12</v>
      </c>
      <c r="R673" s="350">
        <f t="shared" si="64"/>
        <v>99.518724885198537</v>
      </c>
    </row>
    <row r="674" spans="7:18" s="96" customFormat="1" ht="31" x14ac:dyDescent="0.25">
      <c r="G674" s="51" t="s">
        <v>2</v>
      </c>
      <c r="H674" s="51"/>
      <c r="I674" s="47" t="s">
        <v>0</v>
      </c>
      <c r="J674" s="48">
        <v>200</v>
      </c>
      <c r="K674" s="49">
        <v>234526</v>
      </c>
      <c r="L674" s="49"/>
      <c r="M674" s="225">
        <v>438347</v>
      </c>
      <c r="N674" s="49"/>
      <c r="O674" s="353">
        <f>292387-19490-33387-16045-11548-5566-1784</f>
        <v>204567</v>
      </c>
      <c r="P674" s="353"/>
      <c r="Q674" s="353">
        <v>193038.38</v>
      </c>
      <c r="R674" s="350">
        <f t="shared" si="64"/>
        <v>94.36437939648134</v>
      </c>
    </row>
    <row r="675" spans="7:18" ht="24" customHeight="1" x14ac:dyDescent="0.25">
      <c r="G675" s="51" t="s">
        <v>68</v>
      </c>
      <c r="H675" s="51"/>
      <c r="I675" s="47" t="s">
        <v>295</v>
      </c>
      <c r="J675" s="48" t="s">
        <v>0</v>
      </c>
      <c r="K675" s="49">
        <f>K676</f>
        <v>1556800</v>
      </c>
      <c r="L675" s="49"/>
      <c r="M675" s="225">
        <f>M676</f>
        <v>1565300</v>
      </c>
      <c r="N675" s="49">
        <f>N676</f>
        <v>0</v>
      </c>
      <c r="O675" s="353">
        <f>O676</f>
        <v>3444054</v>
      </c>
      <c r="P675" s="353"/>
      <c r="Q675" s="353">
        <f>Q676</f>
        <v>3443894.26</v>
      </c>
      <c r="R675" s="350">
        <f t="shared" si="64"/>
        <v>99.995361861341308</v>
      </c>
    </row>
    <row r="676" spans="7:18" ht="77.5" x14ac:dyDescent="0.25">
      <c r="G676" s="51" t="s">
        <v>3</v>
      </c>
      <c r="H676" s="51"/>
      <c r="I676" s="52"/>
      <c r="J676" s="48">
        <v>100</v>
      </c>
      <c r="K676" s="49">
        <v>1556800</v>
      </c>
      <c r="L676" s="49"/>
      <c r="M676" s="225">
        <v>1565300</v>
      </c>
      <c r="N676" s="49"/>
      <c r="O676" s="353">
        <f>3430366+38000-17412-6900</f>
        <v>3444054</v>
      </c>
      <c r="P676" s="353"/>
      <c r="Q676" s="353">
        <v>3443894.26</v>
      </c>
      <c r="R676" s="350">
        <f t="shared" si="64"/>
        <v>99.995361861341308</v>
      </c>
    </row>
    <row r="677" spans="7:18" ht="46.5" x14ac:dyDescent="0.25">
      <c r="G677" s="51" t="s">
        <v>76</v>
      </c>
      <c r="H677" s="51"/>
      <c r="I677" s="47" t="s">
        <v>298</v>
      </c>
      <c r="J677" s="48"/>
      <c r="K677" s="49">
        <f>K678+K679+K681</f>
        <v>16987500</v>
      </c>
      <c r="L677" s="49">
        <f>L678+L679+L681</f>
        <v>0</v>
      </c>
      <c r="M677" s="225">
        <f>M678+M679+M681</f>
        <v>16987500</v>
      </c>
      <c r="N677" s="49">
        <f>N678+N679+N681</f>
        <v>0</v>
      </c>
      <c r="O677" s="353">
        <f>O678+O679+O681+O680</f>
        <v>18513831</v>
      </c>
      <c r="P677" s="353"/>
      <c r="Q677" s="353">
        <f>Q678+Q679+Q681+Q680</f>
        <v>18442759.149999999</v>
      </c>
      <c r="R677" s="350">
        <f t="shared" si="64"/>
        <v>99.616114838684638</v>
      </c>
    </row>
    <row r="678" spans="7:18" ht="77.5" x14ac:dyDescent="0.25">
      <c r="G678" s="51" t="s">
        <v>3</v>
      </c>
      <c r="H678" s="51"/>
      <c r="I678" s="47" t="s">
        <v>0</v>
      </c>
      <c r="J678" s="48">
        <v>100</v>
      </c>
      <c r="K678" s="49">
        <v>15080500</v>
      </c>
      <c r="L678" s="49"/>
      <c r="M678" s="225">
        <f>K678+L678</f>
        <v>15080500</v>
      </c>
      <c r="N678" s="49"/>
      <c r="O678" s="360">
        <v>16101500</v>
      </c>
      <c r="P678" s="353"/>
      <c r="Q678" s="353">
        <v>16101498.5</v>
      </c>
      <c r="R678" s="350">
        <f t="shared" si="64"/>
        <v>99.999990684097753</v>
      </c>
    </row>
    <row r="679" spans="7:18" ht="31" x14ac:dyDescent="0.25">
      <c r="G679" s="51" t="s">
        <v>2</v>
      </c>
      <c r="H679" s="51"/>
      <c r="I679" s="47" t="s">
        <v>0</v>
      </c>
      <c r="J679" s="48">
        <v>200</v>
      </c>
      <c r="K679" s="49">
        <v>1807000</v>
      </c>
      <c r="L679" s="49">
        <v>0</v>
      </c>
      <c r="M679" s="225">
        <f>K679+L679</f>
        <v>1807000</v>
      </c>
      <c r="N679" s="49"/>
      <c r="O679" s="360">
        <f>1887365+300000-26200-62728-6429-20000</f>
        <v>2072008</v>
      </c>
      <c r="P679" s="353"/>
      <c r="Q679" s="353">
        <v>2000937.91</v>
      </c>
      <c r="R679" s="350">
        <f t="shared" si="64"/>
        <v>96.569989594634762</v>
      </c>
    </row>
    <row r="680" spans="7:18" ht="31" x14ac:dyDescent="0.25">
      <c r="G680" s="51" t="s">
        <v>5</v>
      </c>
      <c r="H680" s="51"/>
      <c r="I680" s="47"/>
      <c r="J680" s="48">
        <v>300</v>
      </c>
      <c r="K680" s="49"/>
      <c r="L680" s="49"/>
      <c r="M680" s="225"/>
      <c r="N680" s="49"/>
      <c r="O680" s="360">
        <v>221589</v>
      </c>
      <c r="P680" s="353"/>
      <c r="Q680" s="353">
        <v>221588.74</v>
      </c>
      <c r="R680" s="350">
        <f t="shared" si="64"/>
        <v>99.999882665655775</v>
      </c>
    </row>
    <row r="681" spans="7:18" x14ac:dyDescent="0.25">
      <c r="G681" s="51" t="s">
        <v>1</v>
      </c>
      <c r="H681" s="51"/>
      <c r="I681" s="47" t="s">
        <v>0</v>
      </c>
      <c r="J681" s="48">
        <v>800</v>
      </c>
      <c r="K681" s="49">
        <v>100000</v>
      </c>
      <c r="L681" s="49">
        <v>0</v>
      </c>
      <c r="M681" s="225">
        <f>K681+L681</f>
        <v>100000</v>
      </c>
      <c r="N681" s="49"/>
      <c r="O681" s="360">
        <f>105000+8840+15780-10886</f>
        <v>118734</v>
      </c>
      <c r="P681" s="353"/>
      <c r="Q681" s="353">
        <v>118734</v>
      </c>
      <c r="R681" s="350">
        <f t="shared" si="64"/>
        <v>100</v>
      </c>
    </row>
    <row r="682" spans="7:18" ht="46.5" x14ac:dyDescent="0.25">
      <c r="G682" s="14" t="s">
        <v>704</v>
      </c>
      <c r="H682" s="51"/>
      <c r="I682" s="47" t="s">
        <v>703</v>
      </c>
      <c r="J682" s="48"/>
      <c r="K682" s="49"/>
      <c r="L682" s="49"/>
      <c r="M682" s="225"/>
      <c r="N682" s="49"/>
      <c r="O682" s="353">
        <f>O683+O684</f>
        <v>1355995</v>
      </c>
      <c r="P682" s="353"/>
      <c r="Q682" s="353">
        <f>Q683+Q684</f>
        <v>1355995</v>
      </c>
      <c r="R682" s="350">
        <f t="shared" si="64"/>
        <v>100</v>
      </c>
    </row>
    <row r="683" spans="7:18" ht="77.5" x14ac:dyDescent="0.25">
      <c r="G683" s="51" t="s">
        <v>3</v>
      </c>
      <c r="H683" s="51"/>
      <c r="I683" s="47"/>
      <c r="J683" s="48">
        <v>100</v>
      </c>
      <c r="K683" s="49"/>
      <c r="L683" s="49"/>
      <c r="M683" s="225"/>
      <c r="N683" s="49"/>
      <c r="O683" s="353">
        <f>661495+90000+252000+33750+213750+45000</f>
        <v>1295995</v>
      </c>
      <c r="P683" s="353"/>
      <c r="Q683" s="353">
        <v>1295995</v>
      </c>
      <c r="R683" s="350">
        <f t="shared" si="64"/>
        <v>100</v>
      </c>
    </row>
    <row r="684" spans="7:18" x14ac:dyDescent="0.25">
      <c r="G684" s="51" t="s">
        <v>6</v>
      </c>
      <c r="H684" s="51"/>
      <c r="I684" s="47"/>
      <c r="J684" s="48">
        <v>500</v>
      </c>
      <c r="K684" s="49"/>
      <c r="L684" s="49"/>
      <c r="M684" s="225"/>
      <c r="N684" s="49"/>
      <c r="O684" s="353">
        <v>60000</v>
      </c>
      <c r="P684" s="353"/>
      <c r="Q684" s="353">
        <v>60000</v>
      </c>
      <c r="R684" s="350">
        <f t="shared" ref="R684:R716" si="68">Q684/O684*100</f>
        <v>100</v>
      </c>
    </row>
    <row r="685" spans="7:18" ht="31" x14ac:dyDescent="0.25">
      <c r="G685" s="51" t="s">
        <v>94</v>
      </c>
      <c r="H685" s="51"/>
      <c r="I685" s="47" t="s">
        <v>304</v>
      </c>
      <c r="J685" s="48"/>
      <c r="K685" s="49">
        <f>K686+K689</f>
        <v>200000</v>
      </c>
      <c r="L685" s="49">
        <f>L686+L689</f>
        <v>0</v>
      </c>
      <c r="M685" s="225">
        <f>M686+M689</f>
        <v>200000</v>
      </c>
      <c r="N685" s="49">
        <f>N686+N689</f>
        <v>0</v>
      </c>
      <c r="O685" s="353">
        <f>O687+O688+O689</f>
        <v>375412</v>
      </c>
      <c r="P685" s="353"/>
      <c r="Q685" s="353">
        <f>Q687+Q688+Q689</f>
        <v>375411.67</v>
      </c>
      <c r="R685" s="350">
        <f t="shared" si="68"/>
        <v>99.999912096576566</v>
      </c>
    </row>
    <row r="686" spans="7:18" hidden="1" x14ac:dyDescent="0.25">
      <c r="G686" s="51" t="s">
        <v>5</v>
      </c>
      <c r="H686" s="51"/>
      <c r="I686" s="47"/>
      <c r="J686" s="48">
        <v>300</v>
      </c>
      <c r="K686" s="49"/>
      <c r="L686" s="49"/>
      <c r="M686" s="225">
        <f>K686+L686</f>
        <v>0</v>
      </c>
      <c r="N686" s="49"/>
      <c r="O686" s="353"/>
      <c r="P686" s="353"/>
      <c r="Q686" s="353"/>
      <c r="R686" s="350" t="e">
        <f t="shared" si="68"/>
        <v>#DIV/0!</v>
      </c>
    </row>
    <row r="687" spans="7:18" ht="31" x14ac:dyDescent="0.25">
      <c r="G687" s="51" t="s">
        <v>2</v>
      </c>
      <c r="H687" s="51"/>
      <c r="I687" s="47"/>
      <c r="J687" s="48">
        <v>200</v>
      </c>
      <c r="K687" s="49"/>
      <c r="L687" s="49"/>
      <c r="M687" s="225"/>
      <c r="N687" s="49"/>
      <c r="O687" s="353">
        <f>280570-158</f>
        <v>280412</v>
      </c>
      <c r="P687" s="353"/>
      <c r="Q687" s="353">
        <v>280411.67</v>
      </c>
      <c r="R687" s="350">
        <f t="shared" si="68"/>
        <v>99.999882316020702</v>
      </c>
    </row>
    <row r="688" spans="7:18" ht="31" x14ac:dyDescent="0.25">
      <c r="G688" s="51" t="s">
        <v>5</v>
      </c>
      <c r="H688" s="51"/>
      <c r="I688" s="47"/>
      <c r="J688" s="48">
        <v>300</v>
      </c>
      <c r="K688" s="49"/>
      <c r="L688" s="49"/>
      <c r="M688" s="225"/>
      <c r="N688" s="49"/>
      <c r="O688" s="353">
        <v>95000</v>
      </c>
      <c r="P688" s="353"/>
      <c r="Q688" s="353">
        <v>95000</v>
      </c>
      <c r="R688" s="350">
        <f t="shared" si="68"/>
        <v>100</v>
      </c>
    </row>
    <row r="689" spans="7:18" x14ac:dyDescent="0.25">
      <c r="G689" s="51" t="s">
        <v>1</v>
      </c>
      <c r="H689" s="51"/>
      <c r="I689" s="47" t="s">
        <v>0</v>
      </c>
      <c r="J689" s="48">
        <v>800</v>
      </c>
      <c r="K689" s="49">
        <v>200000</v>
      </c>
      <c r="L689" s="49"/>
      <c r="M689" s="225">
        <f>K689+L689</f>
        <v>200000</v>
      </c>
      <c r="N689" s="49"/>
      <c r="O689" s="353">
        <f>624430+158-624588</f>
        <v>0</v>
      </c>
      <c r="P689" s="353"/>
      <c r="Q689" s="353">
        <v>0</v>
      </c>
      <c r="R689" s="350">
        <v>0</v>
      </c>
    </row>
    <row r="690" spans="7:18" ht="46.5" hidden="1" x14ac:dyDescent="0.25">
      <c r="G690" s="51" t="s">
        <v>554</v>
      </c>
      <c r="H690" s="51"/>
      <c r="I690" s="47" t="s">
        <v>555</v>
      </c>
      <c r="J690" s="48"/>
      <c r="K690" s="49"/>
      <c r="L690" s="49"/>
      <c r="M690" s="225"/>
      <c r="N690" s="49"/>
      <c r="O690" s="353">
        <f>O691</f>
        <v>0</v>
      </c>
      <c r="P690" s="355"/>
      <c r="Q690" s="353"/>
      <c r="R690" s="350" t="e">
        <f t="shared" si="68"/>
        <v>#DIV/0!</v>
      </c>
    </row>
    <row r="691" spans="7:18" hidden="1" x14ac:dyDescent="0.25">
      <c r="G691" s="51" t="s">
        <v>1</v>
      </c>
      <c r="H691" s="51"/>
      <c r="I691" s="47" t="s">
        <v>0</v>
      </c>
      <c r="J691" s="48">
        <v>800</v>
      </c>
      <c r="K691" s="49"/>
      <c r="L691" s="49"/>
      <c r="M691" s="225"/>
      <c r="N691" s="49"/>
      <c r="O691" s="353"/>
      <c r="P691" s="355"/>
      <c r="Q691" s="353"/>
      <c r="R691" s="350" t="e">
        <f t="shared" si="68"/>
        <v>#DIV/0!</v>
      </c>
    </row>
    <row r="692" spans="7:18" ht="31" hidden="1" x14ac:dyDescent="0.25">
      <c r="G692" s="51" t="s">
        <v>557</v>
      </c>
      <c r="H692" s="51"/>
      <c r="I692" s="47" t="s">
        <v>556</v>
      </c>
      <c r="J692" s="48"/>
      <c r="K692" s="49"/>
      <c r="L692" s="49"/>
      <c r="M692" s="225"/>
      <c r="N692" s="49"/>
      <c r="O692" s="353">
        <f>O693</f>
        <v>0</v>
      </c>
      <c r="P692" s="355"/>
      <c r="Q692" s="353"/>
      <c r="R692" s="350" t="e">
        <f t="shared" si="68"/>
        <v>#DIV/0!</v>
      </c>
    </row>
    <row r="693" spans="7:18" hidden="1" x14ac:dyDescent="0.25">
      <c r="G693" s="51" t="s">
        <v>5</v>
      </c>
      <c r="H693" s="51"/>
      <c r="I693" s="47"/>
      <c r="J693" s="48">
        <v>300</v>
      </c>
      <c r="K693" s="49"/>
      <c r="L693" s="49"/>
      <c r="M693" s="225"/>
      <c r="N693" s="49"/>
      <c r="O693" s="353"/>
      <c r="P693" s="355"/>
      <c r="Q693" s="353"/>
      <c r="R693" s="350" t="e">
        <f t="shared" si="68"/>
        <v>#DIV/0!</v>
      </c>
    </row>
    <row r="694" spans="7:18" s="96" customFormat="1" ht="62" x14ac:dyDescent="0.25">
      <c r="G694" s="51" t="s">
        <v>686</v>
      </c>
      <c r="H694" s="51"/>
      <c r="I694" s="47" t="s">
        <v>306</v>
      </c>
      <c r="J694" s="48" t="s">
        <v>0</v>
      </c>
      <c r="K694" s="49">
        <f>K695+K696</f>
        <v>886052</v>
      </c>
      <c r="L694" s="49"/>
      <c r="M694" s="225">
        <f>M695+M696</f>
        <v>397980</v>
      </c>
      <c r="N694" s="49">
        <f>N695+N696</f>
        <v>0</v>
      </c>
      <c r="O694" s="353">
        <f>O695+O696</f>
        <v>983244</v>
      </c>
      <c r="P694" s="353"/>
      <c r="Q694" s="353">
        <f>Q695+Q696</f>
        <v>983244</v>
      </c>
      <c r="R694" s="350">
        <f t="shared" si="68"/>
        <v>100</v>
      </c>
    </row>
    <row r="695" spans="7:18" s="96" customFormat="1" ht="77.5" x14ac:dyDescent="0.25">
      <c r="G695" s="51" t="s">
        <v>3</v>
      </c>
      <c r="H695" s="51"/>
      <c r="I695" s="47"/>
      <c r="J695" s="48">
        <v>100</v>
      </c>
      <c r="K695" s="49">
        <v>743140</v>
      </c>
      <c r="L695" s="49"/>
      <c r="M695" s="225">
        <v>387980</v>
      </c>
      <c r="N695" s="49"/>
      <c r="O695" s="353">
        <v>840333</v>
      </c>
      <c r="P695" s="353"/>
      <c r="Q695" s="353">
        <v>840333</v>
      </c>
      <c r="R695" s="350">
        <f t="shared" si="68"/>
        <v>100</v>
      </c>
    </row>
    <row r="696" spans="7:18" s="96" customFormat="1" ht="31" x14ac:dyDescent="0.25">
      <c r="G696" s="51" t="s">
        <v>2</v>
      </c>
      <c r="H696" s="51"/>
      <c r="I696" s="47"/>
      <c r="J696" s="48">
        <v>200</v>
      </c>
      <c r="K696" s="49">
        <v>142912</v>
      </c>
      <c r="L696" s="49"/>
      <c r="M696" s="225">
        <v>10000</v>
      </c>
      <c r="N696" s="49"/>
      <c r="O696" s="353">
        <v>142911</v>
      </c>
      <c r="P696" s="353"/>
      <c r="Q696" s="353">
        <v>142911</v>
      </c>
      <c r="R696" s="350">
        <f t="shared" si="68"/>
        <v>100</v>
      </c>
    </row>
    <row r="697" spans="7:18" s="96" customFormat="1" ht="50" customHeight="1" x14ac:dyDescent="0.25">
      <c r="G697" s="51" t="s">
        <v>72</v>
      </c>
      <c r="H697" s="51"/>
      <c r="I697" s="47" t="s">
        <v>307</v>
      </c>
      <c r="J697" s="48" t="s">
        <v>0</v>
      </c>
      <c r="K697" s="49">
        <f>K698+K699</f>
        <v>20679</v>
      </c>
      <c r="L697" s="49"/>
      <c r="M697" s="225">
        <f>M698+M699</f>
        <v>23414</v>
      </c>
      <c r="N697" s="49">
        <f>N698+N699</f>
        <v>0</v>
      </c>
      <c r="O697" s="353">
        <f>O698+O699</f>
        <v>22809</v>
      </c>
      <c r="P697" s="353"/>
      <c r="Q697" s="353">
        <f>Q698+Q699</f>
        <v>22809</v>
      </c>
      <c r="R697" s="350">
        <f t="shared" si="68"/>
        <v>100</v>
      </c>
    </row>
    <row r="698" spans="7:18" s="96" customFormat="1" ht="77.5" x14ac:dyDescent="0.25">
      <c r="G698" s="51" t="s">
        <v>3</v>
      </c>
      <c r="H698" s="51"/>
      <c r="I698" s="47"/>
      <c r="J698" s="48">
        <v>100</v>
      </c>
      <c r="K698" s="49">
        <v>16249</v>
      </c>
      <c r="L698" s="49"/>
      <c r="M698" s="225">
        <v>18580</v>
      </c>
      <c r="N698" s="49"/>
      <c r="O698" s="353">
        <v>21009</v>
      </c>
      <c r="P698" s="353"/>
      <c r="Q698" s="353">
        <v>21009</v>
      </c>
      <c r="R698" s="350">
        <f t="shared" si="68"/>
        <v>100</v>
      </c>
    </row>
    <row r="699" spans="7:18" s="96" customFormat="1" ht="31" x14ac:dyDescent="0.25">
      <c r="G699" s="51" t="s">
        <v>2</v>
      </c>
      <c r="H699" s="51"/>
      <c r="I699" s="47" t="s">
        <v>0</v>
      </c>
      <c r="J699" s="48">
        <v>200</v>
      </c>
      <c r="K699" s="49">
        <v>4430</v>
      </c>
      <c r="L699" s="49"/>
      <c r="M699" s="225">
        <v>4834</v>
      </c>
      <c r="N699" s="49"/>
      <c r="O699" s="353">
        <v>1800</v>
      </c>
      <c r="P699" s="353"/>
      <c r="Q699" s="353">
        <v>1800</v>
      </c>
      <c r="R699" s="350">
        <f t="shared" si="68"/>
        <v>100</v>
      </c>
    </row>
    <row r="700" spans="7:18" ht="30" x14ac:dyDescent="0.25">
      <c r="G700" s="115" t="s">
        <v>337</v>
      </c>
      <c r="H700" s="120">
        <v>825</v>
      </c>
      <c r="I700" s="47"/>
      <c r="J700" s="48"/>
      <c r="K700" s="121">
        <f>K701</f>
        <v>25000</v>
      </c>
      <c r="L700" s="49"/>
      <c r="M700" s="226">
        <f>M701</f>
        <v>25000</v>
      </c>
      <c r="N700" s="121">
        <f>N701</f>
        <v>0</v>
      </c>
      <c r="O700" s="352">
        <f>O701</f>
        <v>6500</v>
      </c>
      <c r="P700" s="352"/>
      <c r="Q700" s="352">
        <f>Q701</f>
        <v>6500</v>
      </c>
      <c r="R700" s="350">
        <f t="shared" si="68"/>
        <v>100</v>
      </c>
    </row>
    <row r="701" spans="7:18" x14ac:dyDescent="0.25">
      <c r="G701" s="115" t="s">
        <v>8</v>
      </c>
      <c r="H701" s="115"/>
      <c r="I701" s="60" t="s">
        <v>293</v>
      </c>
      <c r="J701" s="116" t="s">
        <v>0</v>
      </c>
      <c r="K701" s="121">
        <f>K702+K704</f>
        <v>25000</v>
      </c>
      <c r="L701" s="121"/>
      <c r="M701" s="226">
        <f>M702+M704</f>
        <v>25000</v>
      </c>
      <c r="N701" s="121">
        <f>N702+N704</f>
        <v>0</v>
      </c>
      <c r="O701" s="352">
        <f>O702+O704</f>
        <v>6500</v>
      </c>
      <c r="P701" s="352"/>
      <c r="Q701" s="352">
        <f>Q702+Q704</f>
        <v>6500</v>
      </c>
      <c r="R701" s="350">
        <f t="shared" si="68"/>
        <v>100</v>
      </c>
    </row>
    <row r="702" spans="7:18" ht="31" x14ac:dyDescent="0.25">
      <c r="G702" s="51" t="s">
        <v>69</v>
      </c>
      <c r="H702" s="51"/>
      <c r="I702" s="47" t="s">
        <v>296</v>
      </c>
      <c r="J702" s="48" t="s">
        <v>0</v>
      </c>
      <c r="K702" s="49">
        <f>K703</f>
        <v>5000</v>
      </c>
      <c r="L702" s="49"/>
      <c r="M702" s="225">
        <f>M703</f>
        <v>5000</v>
      </c>
      <c r="N702" s="49">
        <f>N703</f>
        <v>0</v>
      </c>
      <c r="O702" s="353">
        <f>O703</f>
        <v>0</v>
      </c>
      <c r="P702" s="353"/>
      <c r="Q702" s="353">
        <f>Q703</f>
        <v>0</v>
      </c>
      <c r="R702" s="350">
        <v>0</v>
      </c>
    </row>
    <row r="703" spans="7:18" ht="77.5" x14ac:dyDescent="0.25">
      <c r="G703" s="51" t="s">
        <v>3</v>
      </c>
      <c r="H703" s="51"/>
      <c r="I703" s="52"/>
      <c r="J703" s="48">
        <v>100</v>
      </c>
      <c r="K703" s="49">
        <v>5000</v>
      </c>
      <c r="L703" s="49"/>
      <c r="M703" s="225">
        <v>5000</v>
      </c>
      <c r="N703" s="49"/>
      <c r="O703" s="353">
        <v>0</v>
      </c>
      <c r="P703" s="353"/>
      <c r="Q703" s="353">
        <v>0</v>
      </c>
      <c r="R703" s="350">
        <v>0</v>
      </c>
    </row>
    <row r="704" spans="7:18" ht="31" x14ac:dyDescent="0.25">
      <c r="G704" s="51" t="s">
        <v>70</v>
      </c>
      <c r="H704" s="51"/>
      <c r="I704" s="47" t="s">
        <v>297</v>
      </c>
      <c r="J704" s="48"/>
      <c r="K704" s="49">
        <f>K705+K707</f>
        <v>20000</v>
      </c>
      <c r="L704" s="49"/>
      <c r="M704" s="225">
        <f>M705+M707</f>
        <v>20000</v>
      </c>
      <c r="N704" s="49">
        <f>N705+N707</f>
        <v>0</v>
      </c>
      <c r="O704" s="353">
        <f>O705+O707</f>
        <v>6500</v>
      </c>
      <c r="P704" s="353"/>
      <c r="Q704" s="353">
        <f>Q705+Q707</f>
        <v>6500</v>
      </c>
      <c r="R704" s="350">
        <f t="shared" si="68"/>
        <v>100</v>
      </c>
    </row>
    <row r="705" spans="7:18" ht="77.5" x14ac:dyDescent="0.25">
      <c r="G705" s="51" t="s">
        <v>3</v>
      </c>
      <c r="H705" s="51"/>
      <c r="I705" s="52"/>
      <c r="J705" s="48">
        <v>100</v>
      </c>
      <c r="K705" s="49">
        <v>10000</v>
      </c>
      <c r="L705" s="49"/>
      <c r="M705" s="225">
        <v>10000</v>
      </c>
      <c r="N705" s="49"/>
      <c r="O705" s="353">
        <v>0</v>
      </c>
      <c r="P705" s="353"/>
      <c r="Q705" s="353">
        <v>0</v>
      </c>
      <c r="R705" s="350">
        <v>0</v>
      </c>
    </row>
    <row r="706" spans="7:18" ht="31" hidden="1" x14ac:dyDescent="0.25">
      <c r="G706" s="51" t="s">
        <v>2</v>
      </c>
      <c r="H706" s="51"/>
      <c r="I706" s="52"/>
      <c r="J706" s="48">
        <v>200</v>
      </c>
      <c r="K706" s="49">
        <v>0</v>
      </c>
      <c r="L706" s="49"/>
      <c r="M706" s="225">
        <v>0</v>
      </c>
      <c r="N706" s="49"/>
      <c r="O706" s="353"/>
      <c r="P706" s="353"/>
      <c r="Q706" s="353"/>
      <c r="R706" s="350" t="e">
        <f t="shared" si="68"/>
        <v>#DIV/0!</v>
      </c>
    </row>
    <row r="707" spans="7:18" ht="31" x14ac:dyDescent="0.25">
      <c r="G707" s="51" t="s">
        <v>2</v>
      </c>
      <c r="H707" s="51"/>
      <c r="I707" s="52"/>
      <c r="J707" s="48">
        <v>200</v>
      </c>
      <c r="K707" s="49">
        <v>10000</v>
      </c>
      <c r="L707" s="49"/>
      <c r="M707" s="225">
        <v>10000</v>
      </c>
      <c r="N707" s="49"/>
      <c r="O707" s="353">
        <v>6500</v>
      </c>
      <c r="P707" s="353"/>
      <c r="Q707" s="353">
        <v>6500</v>
      </c>
      <c r="R707" s="350">
        <f t="shared" si="68"/>
        <v>100</v>
      </c>
    </row>
    <row r="708" spans="7:18" ht="30" x14ac:dyDescent="0.25">
      <c r="G708" s="115" t="s">
        <v>338</v>
      </c>
      <c r="H708" s="120">
        <v>826</v>
      </c>
      <c r="I708" s="52"/>
      <c r="J708" s="48"/>
      <c r="K708" s="121">
        <f>K709</f>
        <v>1122710</v>
      </c>
      <c r="L708" s="49"/>
      <c r="M708" s="226">
        <f>M709</f>
        <v>1122710</v>
      </c>
      <c r="N708" s="121">
        <f>N709</f>
        <v>0</v>
      </c>
      <c r="O708" s="352">
        <f>O709</f>
        <v>890406</v>
      </c>
      <c r="P708" s="352"/>
      <c r="Q708" s="352">
        <f>Q709</f>
        <v>888983.27</v>
      </c>
      <c r="R708" s="350">
        <f t="shared" si="68"/>
        <v>99.840215587046814</v>
      </c>
    </row>
    <row r="709" spans="7:18" x14ac:dyDescent="0.25">
      <c r="G709" s="115" t="s">
        <v>8</v>
      </c>
      <c r="H709" s="51"/>
      <c r="I709" s="119" t="s">
        <v>293</v>
      </c>
      <c r="J709" s="48"/>
      <c r="K709" s="121">
        <f>K710+K712</f>
        <v>1122710</v>
      </c>
      <c r="L709" s="49">
        <f>L710+L712</f>
        <v>0</v>
      </c>
      <c r="M709" s="226">
        <f>M710+M712</f>
        <v>1122710</v>
      </c>
      <c r="N709" s="121">
        <f>N710+N712</f>
        <v>0</v>
      </c>
      <c r="O709" s="352">
        <f>O710+O712</f>
        <v>890406</v>
      </c>
      <c r="P709" s="352"/>
      <c r="Q709" s="352">
        <f>Q710+Q712</f>
        <v>888983.27</v>
      </c>
      <c r="R709" s="350">
        <f t="shared" si="68"/>
        <v>99.840215587046814</v>
      </c>
    </row>
    <row r="710" spans="7:18" ht="31" x14ac:dyDescent="0.25">
      <c r="G710" s="51" t="s">
        <v>685</v>
      </c>
      <c r="H710" s="51"/>
      <c r="I710" s="47" t="s">
        <v>299</v>
      </c>
      <c r="J710" s="48"/>
      <c r="K710" s="49">
        <f>K711</f>
        <v>719005</v>
      </c>
      <c r="L710" s="49">
        <f>L711</f>
        <v>0</v>
      </c>
      <c r="M710" s="225">
        <f>M711</f>
        <v>719005</v>
      </c>
      <c r="N710" s="49">
        <f>N711</f>
        <v>0</v>
      </c>
      <c r="O710" s="353">
        <f>O711</f>
        <v>870906</v>
      </c>
      <c r="P710" s="353"/>
      <c r="Q710" s="353">
        <f>Q711</f>
        <v>869523.13</v>
      </c>
      <c r="R710" s="350">
        <f t="shared" si="68"/>
        <v>99.841214780929292</v>
      </c>
    </row>
    <row r="711" spans="7:18" ht="77.5" x14ac:dyDescent="0.25">
      <c r="G711" s="51" t="s">
        <v>3</v>
      </c>
      <c r="H711" s="51"/>
      <c r="I711" s="47" t="s">
        <v>0</v>
      </c>
      <c r="J711" s="48">
        <v>100</v>
      </c>
      <c r="K711" s="49">
        <f>552231+166774</f>
        <v>719005</v>
      </c>
      <c r="L711" s="49"/>
      <c r="M711" s="225">
        <f>L711+K711</f>
        <v>719005</v>
      </c>
      <c r="N711" s="49"/>
      <c r="O711" s="353">
        <f>832588+38318</f>
        <v>870906</v>
      </c>
      <c r="P711" s="353"/>
      <c r="Q711" s="353">
        <v>869523.13</v>
      </c>
      <c r="R711" s="350">
        <f t="shared" si="68"/>
        <v>99.841214780929292</v>
      </c>
    </row>
    <row r="712" spans="7:18" ht="31" x14ac:dyDescent="0.25">
      <c r="G712" s="51" t="s">
        <v>684</v>
      </c>
      <c r="H712" s="51"/>
      <c r="I712" s="47" t="s">
        <v>300</v>
      </c>
      <c r="J712" s="48"/>
      <c r="K712" s="49">
        <f>K713+K714+K715</f>
        <v>403705</v>
      </c>
      <c r="L712" s="49">
        <f>L713+L714</f>
        <v>0</v>
      </c>
      <c r="M712" s="225">
        <f>M713+M714+M715</f>
        <v>403705</v>
      </c>
      <c r="N712" s="49">
        <f>N713+N714+N715</f>
        <v>0</v>
      </c>
      <c r="O712" s="353">
        <f>O713+O714+O715</f>
        <v>19500</v>
      </c>
      <c r="P712" s="353"/>
      <c r="Q712" s="353">
        <f>Q713+Q714+Q715</f>
        <v>19460.14</v>
      </c>
      <c r="R712" s="350">
        <f t="shared" si="68"/>
        <v>99.795589743589744</v>
      </c>
    </row>
    <row r="713" spans="7:18" ht="62" hidden="1" x14ac:dyDescent="0.25">
      <c r="G713" s="51" t="s">
        <v>3</v>
      </c>
      <c r="H713" s="51"/>
      <c r="I713" s="47"/>
      <c r="J713" s="48">
        <v>100</v>
      </c>
      <c r="K713" s="49">
        <f>89001+294704</f>
        <v>383705</v>
      </c>
      <c r="L713" s="49">
        <v>-9800</v>
      </c>
      <c r="M713" s="225">
        <f>L713+K713</f>
        <v>373905</v>
      </c>
      <c r="N713" s="49"/>
      <c r="O713" s="353"/>
      <c r="P713" s="353"/>
      <c r="Q713" s="353"/>
      <c r="R713" s="350" t="e">
        <f t="shared" si="68"/>
        <v>#DIV/0!</v>
      </c>
    </row>
    <row r="714" spans="7:18" ht="31" x14ac:dyDescent="0.25">
      <c r="G714" s="51" t="s">
        <v>2</v>
      </c>
      <c r="H714" s="51"/>
      <c r="I714" s="47"/>
      <c r="J714" s="48">
        <v>200</v>
      </c>
      <c r="K714" s="49">
        <v>20000</v>
      </c>
      <c r="L714" s="49">
        <v>9800</v>
      </c>
      <c r="M714" s="225">
        <f>L714+K714</f>
        <v>29800</v>
      </c>
      <c r="N714" s="49"/>
      <c r="O714" s="353">
        <f>23000-3500</f>
        <v>19500</v>
      </c>
      <c r="P714" s="353"/>
      <c r="Q714" s="353">
        <v>19460.14</v>
      </c>
      <c r="R714" s="350">
        <f t="shared" si="68"/>
        <v>99.795589743589744</v>
      </c>
    </row>
    <row r="715" spans="7:18" hidden="1" x14ac:dyDescent="0.25">
      <c r="G715" s="51" t="s">
        <v>1</v>
      </c>
      <c r="H715" s="51"/>
      <c r="I715" s="47"/>
      <c r="J715" s="48">
        <v>800</v>
      </c>
      <c r="K715" s="49">
        <v>0</v>
      </c>
      <c r="L715" s="49"/>
      <c r="M715" s="225">
        <v>0</v>
      </c>
      <c r="N715" s="49"/>
      <c r="O715" s="352"/>
      <c r="P715" s="353"/>
      <c r="Q715" s="353"/>
      <c r="R715" s="350" t="e">
        <f t="shared" si="68"/>
        <v>#DIV/0!</v>
      </c>
    </row>
    <row r="716" spans="7:18" x14ac:dyDescent="0.35">
      <c r="G716" s="148" t="s">
        <v>60</v>
      </c>
      <c r="H716" s="148"/>
      <c r="I716" s="149"/>
      <c r="J716" s="149"/>
      <c r="K716" s="150" t="e">
        <f>K709+K701+K443+K322+K297+K150+K12</f>
        <v>#REF!</v>
      </c>
      <c r="L716" s="150" t="e">
        <f>L709+L701+L443+L322+L297+L150+L12</f>
        <v>#REF!</v>
      </c>
      <c r="M716" s="233" t="e">
        <f>M709+M701+M443+M322+M297+M150+M12</f>
        <v>#REF!</v>
      </c>
      <c r="N716" s="121" t="e">
        <f>N709+N701+N443+N322+N297+N150+N12</f>
        <v>#REF!</v>
      </c>
      <c r="O716" s="352">
        <f>O709+O701+O443+O322+O297+O150+O12</f>
        <v>685736987</v>
      </c>
      <c r="P716" s="352"/>
      <c r="Q716" s="352">
        <f>Q709+Q701+Q443+Q322+Q297+Q150+Q12</f>
        <v>668901153.01999998</v>
      </c>
      <c r="R716" s="350">
        <f t="shared" si="68"/>
        <v>97.544855491366405</v>
      </c>
    </row>
    <row r="717" spans="7:18" x14ac:dyDescent="0.3">
      <c r="G717" s="50"/>
      <c r="H717" s="50"/>
      <c r="I717" s="50"/>
      <c r="J717" s="50"/>
      <c r="K717" s="50"/>
      <c r="L717" s="178"/>
      <c r="M717" s="50"/>
      <c r="N717" s="50"/>
    </row>
    <row r="718" spans="7:18" x14ac:dyDescent="0.3">
      <c r="G718" s="50"/>
      <c r="H718" s="50"/>
      <c r="I718" s="50"/>
      <c r="J718" s="50"/>
      <c r="K718" s="50"/>
      <c r="L718" s="178"/>
      <c r="M718" s="50"/>
      <c r="N718" s="50"/>
    </row>
    <row r="719" spans="7:18" x14ac:dyDescent="0.3">
      <c r="G719" s="50"/>
      <c r="H719" s="105"/>
      <c r="I719" s="50"/>
      <c r="J719" s="50"/>
      <c r="K719" s="50"/>
      <c r="L719" s="178"/>
      <c r="M719" s="50"/>
      <c r="N719" s="50"/>
    </row>
    <row r="720" spans="7:18" x14ac:dyDescent="0.3">
      <c r="G720" s="50"/>
      <c r="H720" s="105"/>
      <c r="I720" s="105"/>
      <c r="J720" s="50"/>
      <c r="K720" s="50"/>
      <c r="L720" s="178"/>
    </row>
    <row r="721" spans="7:14" x14ac:dyDescent="0.3">
      <c r="G721" s="50"/>
      <c r="H721" s="50"/>
      <c r="I721" s="50"/>
      <c r="J721" s="50"/>
      <c r="K721" s="50"/>
      <c r="L721" s="178"/>
    </row>
    <row r="722" spans="7:14" x14ac:dyDescent="0.3">
      <c r="L722" s="179"/>
    </row>
    <row r="723" spans="7:14" x14ac:dyDescent="0.3">
      <c r="J723" s="27"/>
      <c r="K723" s="27"/>
      <c r="L723" s="27"/>
      <c r="M723" s="28"/>
      <c r="N723" s="28"/>
    </row>
    <row r="724" spans="7:14" x14ac:dyDescent="0.3">
      <c r="J724" s="27"/>
      <c r="K724" s="27"/>
      <c r="L724" s="27"/>
      <c r="M724" s="28"/>
      <c r="N724" s="28"/>
    </row>
    <row r="725" spans="7:14" x14ac:dyDescent="0.3">
      <c r="J725" s="27"/>
      <c r="K725" s="27"/>
      <c r="L725" s="27"/>
      <c r="M725" s="28"/>
      <c r="N725" s="28"/>
    </row>
    <row r="726" spans="7:14" x14ac:dyDescent="0.3">
      <c r="J726" s="27"/>
      <c r="K726" s="27"/>
      <c r="L726" s="27"/>
      <c r="M726" s="28"/>
      <c r="N726" s="28"/>
    </row>
    <row r="727" spans="7:14" x14ac:dyDescent="0.3">
      <c r="J727" s="27"/>
      <c r="K727" s="27"/>
      <c r="L727" s="27"/>
      <c r="M727" s="28"/>
      <c r="N727" s="28"/>
    </row>
    <row r="728" spans="7:14" x14ac:dyDescent="0.3">
      <c r="J728" s="27"/>
      <c r="K728" s="27"/>
      <c r="L728" s="27"/>
      <c r="M728" s="28"/>
      <c r="N728" s="28"/>
    </row>
    <row r="729" spans="7:14" x14ac:dyDescent="0.3">
      <c r="J729" s="27"/>
      <c r="K729" s="27"/>
      <c r="L729" s="27"/>
      <c r="M729" s="28"/>
      <c r="N729" s="28"/>
    </row>
    <row r="730" spans="7:14" x14ac:dyDescent="0.3">
      <c r="J730" s="27"/>
      <c r="K730" s="27"/>
      <c r="L730" s="27"/>
      <c r="M730" s="28"/>
      <c r="N730" s="28"/>
    </row>
    <row r="731" spans="7:14" x14ac:dyDescent="0.3">
      <c r="J731" s="27"/>
      <c r="K731" s="27"/>
      <c r="L731" s="27"/>
      <c r="M731" s="28"/>
      <c r="N731" s="28"/>
    </row>
    <row r="732" spans="7:14" x14ac:dyDescent="0.3">
      <c r="J732" s="27"/>
      <c r="K732" s="27"/>
      <c r="L732" s="27"/>
      <c r="M732" s="28"/>
      <c r="N732" s="28"/>
    </row>
    <row r="733" spans="7:14" x14ac:dyDescent="0.3">
      <c r="J733" s="27"/>
      <c r="K733" s="27"/>
      <c r="L733" s="27"/>
      <c r="M733" s="28"/>
      <c r="N733" s="28"/>
    </row>
    <row r="734" spans="7:14" x14ac:dyDescent="0.3">
      <c r="J734" s="27"/>
      <c r="K734" s="27"/>
      <c r="L734" s="27"/>
      <c r="M734" s="28"/>
      <c r="N734" s="28"/>
    </row>
    <row r="735" spans="7:14" x14ac:dyDescent="0.3">
      <c r="J735" s="29"/>
      <c r="K735" s="29"/>
      <c r="L735" s="29"/>
      <c r="M735" s="28"/>
      <c r="N735" s="28"/>
    </row>
    <row r="736" spans="7:14" x14ac:dyDescent="0.3">
      <c r="J736" s="29"/>
      <c r="K736" s="29"/>
      <c r="L736" s="29"/>
      <c r="M736" s="28"/>
      <c r="N736" s="28"/>
    </row>
    <row r="737" spans="10:14" x14ac:dyDescent="0.3">
      <c r="J737" s="29"/>
      <c r="K737" s="29"/>
      <c r="L737" s="29"/>
      <c r="M737" s="28"/>
      <c r="N737" s="28"/>
    </row>
    <row r="738" spans="10:14" x14ac:dyDescent="0.3">
      <c r="J738" s="29"/>
      <c r="K738" s="29"/>
      <c r="L738" s="29"/>
      <c r="M738" s="28"/>
      <c r="N738" s="28"/>
    </row>
    <row r="739" spans="10:14" x14ac:dyDescent="0.3">
      <c r="J739" s="29"/>
      <c r="K739" s="29"/>
      <c r="L739" s="29"/>
      <c r="M739" s="28"/>
      <c r="N739" s="28"/>
    </row>
    <row r="740" spans="10:14" x14ac:dyDescent="0.3">
      <c r="J740" s="29"/>
      <c r="K740" s="29"/>
      <c r="L740" s="29"/>
      <c r="M740" s="28"/>
      <c r="N740" s="28"/>
    </row>
    <row r="741" spans="10:14" x14ac:dyDescent="0.3">
      <c r="J741" s="29"/>
      <c r="K741" s="29"/>
      <c r="L741" s="29"/>
      <c r="M741" s="28"/>
      <c r="N741" s="28"/>
    </row>
    <row r="742" spans="10:14" x14ac:dyDescent="0.3">
      <c r="J742" s="29"/>
      <c r="K742" s="29"/>
      <c r="L742" s="29"/>
      <c r="M742" s="28"/>
      <c r="N742" s="28"/>
    </row>
    <row r="743" spans="10:14" x14ac:dyDescent="0.3">
      <c r="J743" s="29"/>
      <c r="K743" s="29"/>
      <c r="L743" s="29"/>
      <c r="M743" s="28"/>
      <c r="N743" s="28"/>
    </row>
    <row r="744" spans="10:14" x14ac:dyDescent="0.3">
      <c r="J744" s="29"/>
      <c r="K744" s="29"/>
      <c r="L744" s="29"/>
      <c r="M744" s="28"/>
      <c r="N744" s="28"/>
    </row>
    <row r="745" spans="10:14" x14ac:dyDescent="0.3">
      <c r="J745" s="29"/>
      <c r="K745" s="29"/>
      <c r="L745" s="29"/>
      <c r="M745" s="28"/>
      <c r="N745" s="28"/>
    </row>
    <row r="746" spans="10:14" x14ac:dyDescent="0.3">
      <c r="J746" s="29"/>
      <c r="K746" s="29"/>
      <c r="L746" s="29"/>
      <c r="M746" s="28"/>
      <c r="N746" s="28"/>
    </row>
    <row r="747" spans="10:14" x14ac:dyDescent="0.3">
      <c r="J747" s="29"/>
      <c r="K747" s="29"/>
      <c r="L747" s="29"/>
      <c r="M747" s="28"/>
      <c r="N747" s="28"/>
    </row>
    <row r="748" spans="10:14" x14ac:dyDescent="0.3">
      <c r="J748" s="29"/>
      <c r="K748" s="29"/>
      <c r="L748" s="29"/>
      <c r="M748" s="28"/>
      <c r="N748" s="28"/>
    </row>
    <row r="749" spans="10:14" x14ac:dyDescent="0.3">
      <c r="J749" s="29"/>
      <c r="K749" s="29"/>
      <c r="L749" s="29"/>
      <c r="M749" s="28"/>
      <c r="N749" s="28"/>
    </row>
    <row r="750" spans="10:14" x14ac:dyDescent="0.3">
      <c r="J750" s="29"/>
      <c r="K750" s="29"/>
      <c r="L750" s="29"/>
      <c r="M750" s="28"/>
      <c r="N750" s="28"/>
    </row>
    <row r="751" spans="10:14" x14ac:dyDescent="0.3">
      <c r="J751" s="29"/>
      <c r="K751" s="29"/>
      <c r="L751" s="29"/>
      <c r="M751" s="28"/>
      <c r="N751" s="28"/>
    </row>
    <row r="752" spans="10:14" x14ac:dyDescent="0.3">
      <c r="M752" s="28"/>
      <c r="N752" s="28"/>
    </row>
    <row r="753" spans="13:14" x14ac:dyDescent="0.3">
      <c r="M753" s="28"/>
      <c r="N753" s="28"/>
    </row>
  </sheetData>
  <mergeCells count="77">
    <mergeCell ref="B433:F433"/>
    <mergeCell ref="B340:F340"/>
    <mergeCell ref="B330:F330"/>
    <mergeCell ref="B350:F350"/>
    <mergeCell ref="B438:F438"/>
    <mergeCell ref="B366:F366"/>
    <mergeCell ref="B344:F344"/>
    <mergeCell ref="B517:F517"/>
    <mergeCell ref="B460:F460"/>
    <mergeCell ref="B516:F516"/>
    <mergeCell ref="B461:F461"/>
    <mergeCell ref="B440:F440"/>
    <mergeCell ref="B459:F459"/>
    <mergeCell ref="B447:F447"/>
    <mergeCell ref="B444:F444"/>
    <mergeCell ref="B446:F446"/>
    <mergeCell ref="B445:F445"/>
    <mergeCell ref="B158:F158"/>
    <mergeCell ref="B432:F432"/>
    <mergeCell ref="B363:F363"/>
    <mergeCell ref="B365:F365"/>
    <mergeCell ref="B357:F357"/>
    <mergeCell ref="B369:F369"/>
    <mergeCell ref="B403:F403"/>
    <mergeCell ref="B429:F429"/>
    <mergeCell ref="B370:F370"/>
    <mergeCell ref="B306:F306"/>
    <mergeCell ref="B331:F331"/>
    <mergeCell ref="B161:F161"/>
    <mergeCell ref="B305:F305"/>
    <mergeCell ref="B354:F354"/>
    <mergeCell ref="B200:F200"/>
    <mergeCell ref="B199:F199"/>
    <mergeCell ref="B356:F356"/>
    <mergeCell ref="B318:F318"/>
    <mergeCell ref="B283:F283"/>
    <mergeCell ref="B284:F284"/>
    <mergeCell ref="B316:F316"/>
    <mergeCell ref="B303:F303"/>
    <mergeCell ref="B291:F291"/>
    <mergeCell ref="B304:F304"/>
    <mergeCell ref="B317:F317"/>
    <mergeCell ref="B286:F286"/>
    <mergeCell ref="B290:F290"/>
    <mergeCell ref="B296:F296"/>
    <mergeCell ref="B297:F297"/>
    <mergeCell ref="B198:F198"/>
    <mergeCell ref="B167:F167"/>
    <mergeCell ref="B73:F73"/>
    <mergeCell ref="B157:F157"/>
    <mergeCell ref="B164:F164"/>
    <mergeCell ref="B168:F168"/>
    <mergeCell ref="B174:F174"/>
    <mergeCell ref="B195:F195"/>
    <mergeCell ref="B197:F197"/>
    <mergeCell ref="B175:F175"/>
    <mergeCell ref="B196:F196"/>
    <mergeCell ref="B203:F203"/>
    <mergeCell ref="B207:F207"/>
    <mergeCell ref="B276:F276"/>
    <mergeCell ref="B268:F268"/>
    <mergeCell ref="I1:R1"/>
    <mergeCell ref="O2:R2"/>
    <mergeCell ref="G6:R6"/>
    <mergeCell ref="B49:F49"/>
    <mergeCell ref="B65:F65"/>
    <mergeCell ref="B64:F64"/>
    <mergeCell ref="B48:F48"/>
    <mergeCell ref="I3:O3"/>
    <mergeCell ref="B50:F50"/>
    <mergeCell ref="I4:M4"/>
    <mergeCell ref="B61:F61"/>
    <mergeCell ref="B51:F51"/>
    <mergeCell ref="B54:F54"/>
    <mergeCell ref="B58:F58"/>
    <mergeCell ref="B63:F63"/>
    <mergeCell ref="B62:F62"/>
  </mergeCells>
  <phoneticPr fontId="0" type="noConversion"/>
  <printOptions horizontalCentered="1"/>
  <pageMargins left="1.1811023622047245" right="0.39370078740157483" top="0.78740157480314965" bottom="0.78740157480314965" header="0" footer="0"/>
  <pageSetup paperSize="9" scale="66" fitToHeight="21" orientation="portrait" r:id="rId1"/>
  <headerFooter differentFirst="1" scaleWithDoc="0">
    <oddHeader>&amp;P</oddHeader>
  </headerFooter>
  <rowBreaks count="4" manualBreakCount="4">
    <brk id="30" min="6" max="18" man="1"/>
    <brk id="79" min="6" max="18" man="1"/>
    <brk id="671" min="6" max="17" man="1"/>
    <brk id="689" min="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2024-03-29T07:28:19Z</cp:lastPrinted>
  <dcterms:created xsi:type="dcterms:W3CDTF">2013-10-18T09:34:20Z</dcterms:created>
  <dcterms:modified xsi:type="dcterms:W3CDTF">2024-03-29T07:28:48Z</dcterms:modified>
</cp:coreProperties>
</file>