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540" windowWidth="15600" windowHeight="10428" firstSheet="1" activeTab="1"/>
  </bookViews>
  <sheets>
    <sheet name="Прил.1_к поясн." sheetId="3" state="hidden" r:id="rId1"/>
    <sheet name="Приложение 6 " sheetId="2" r:id="rId2"/>
  </sheets>
  <definedNames>
    <definedName name="_xlnm.Print_Titles" localSheetId="1">'Приложение 6 '!$12:$12</definedName>
    <definedName name="_xlnm.Print_Area" localSheetId="1">'Приложение 6 '!$G$1:$O$723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9" i="2" l="1"/>
  <c r="O602" i="2"/>
  <c r="O469" i="2"/>
  <c r="O464" i="2"/>
  <c r="O514" i="2"/>
  <c r="O680" i="2"/>
  <c r="O622" i="2"/>
  <c r="O620" i="2"/>
  <c r="O628" i="2"/>
  <c r="O626" i="2"/>
  <c r="O434" i="2"/>
  <c r="O438" i="2"/>
  <c r="O436" i="2"/>
  <c r="O435" i="2"/>
  <c r="O154" i="2"/>
  <c r="O160" i="2"/>
  <c r="O156" i="2"/>
  <c r="O158" i="2"/>
  <c r="O269" i="2"/>
  <c r="O393" i="2" l="1"/>
  <c r="O392" i="2"/>
  <c r="O627" i="2" l="1"/>
  <c r="O625" i="2"/>
  <c r="O38" i="2"/>
  <c r="O228" i="2" l="1"/>
  <c r="O55" i="2"/>
  <c r="O711" i="2"/>
  <c r="O596" i="2"/>
  <c r="O616" i="2"/>
  <c r="O682" i="2"/>
  <c r="O679" i="2"/>
  <c r="O677" i="2"/>
  <c r="O364" i="2"/>
  <c r="O332" i="2"/>
  <c r="O331" i="2"/>
  <c r="O655" i="2" l="1"/>
  <c r="O662" i="2"/>
  <c r="O695" i="2" l="1"/>
  <c r="O698" i="2"/>
  <c r="O318" i="2" l="1"/>
  <c r="O317" i="2" s="1"/>
  <c r="O295" i="2"/>
  <c r="O594" i="2"/>
  <c r="O401" i="2" l="1"/>
  <c r="O389" i="2"/>
  <c r="O383" i="2"/>
  <c r="O344" i="2"/>
  <c r="O378" i="2"/>
  <c r="O370" i="2"/>
  <c r="O369" i="2"/>
  <c r="O372" i="2"/>
  <c r="O376" i="2"/>
  <c r="O367" i="2"/>
  <c r="O366" i="2"/>
  <c r="O363" i="2"/>
  <c r="O356" i="2"/>
  <c r="O355" i="2"/>
  <c r="O353" i="2"/>
  <c r="O352" i="2"/>
  <c r="O335" i="2"/>
  <c r="O334" i="2"/>
  <c r="O202" i="2" l="1"/>
  <c r="O196" i="2"/>
  <c r="O195" i="2"/>
  <c r="O198" i="2"/>
  <c r="O299" i="2"/>
  <c r="O180" i="2" l="1"/>
  <c r="O689" i="2" l="1"/>
  <c r="O678" i="2" l="1"/>
  <c r="O593" i="2"/>
  <c r="O250" i="2"/>
  <c r="O249" i="2"/>
  <c r="O242" i="2" s="1"/>
  <c r="O241" i="2"/>
  <c r="O237" i="2" s="1"/>
  <c r="O236" i="2"/>
  <c r="O234" i="2"/>
  <c r="O51" i="2"/>
  <c r="O348" i="2" l="1"/>
  <c r="O452" i="2" l="1"/>
  <c r="O500" i="2"/>
  <c r="O661" i="2" l="1"/>
  <c r="O660" i="2" s="1"/>
  <c r="O96" i="2" l="1"/>
  <c r="O162" i="2" l="1"/>
  <c r="O161" i="2" s="1"/>
  <c r="O140" i="2" l="1"/>
  <c r="O416" i="2" l="1"/>
  <c r="O415" i="2" s="1"/>
  <c r="O414" i="2" s="1"/>
  <c r="O386" i="2" l="1"/>
  <c r="O589" i="2"/>
  <c r="O89" i="2" l="1"/>
  <c r="O481" i="2" l="1"/>
  <c r="O480" i="2" s="1"/>
  <c r="O479" i="2" s="1"/>
  <c r="O478" i="2" s="1"/>
  <c r="O22" i="2" l="1"/>
  <c r="O21" i="2" s="1"/>
  <c r="O20" i="2" s="1"/>
  <c r="O19" i="2" s="1"/>
  <c r="O379" i="2"/>
  <c r="O203" i="2"/>
  <c r="O177" i="2"/>
  <c r="O175" i="2"/>
  <c r="O683" i="2" l="1"/>
  <c r="O685" i="2"/>
  <c r="O553" i="2"/>
  <c r="O555" i="2"/>
  <c r="O91" i="2"/>
  <c r="O93" i="2"/>
  <c r="O552" i="2" l="1"/>
  <c r="O551" i="2" s="1"/>
  <c r="O550" i="2" s="1"/>
  <c r="O578" i="2" l="1"/>
  <c r="O577" i="2" s="1"/>
  <c r="O115" i="2"/>
  <c r="O114" i="2" s="1"/>
  <c r="O98" i="2"/>
  <c r="O100" i="2"/>
  <c r="O97" i="2" l="1"/>
  <c r="O499" i="2"/>
  <c r="O498" i="2" s="1"/>
  <c r="O497" i="2" s="1"/>
  <c r="O496" i="2" s="1"/>
  <c r="O617" i="2"/>
  <c r="O601" i="2"/>
  <c r="O48" i="2"/>
  <c r="O573" i="2"/>
  <c r="O575" i="2"/>
  <c r="O225" i="2"/>
  <c r="O227" i="2"/>
  <c r="O112" i="2"/>
  <c r="O111" i="2" s="1"/>
  <c r="O110" i="2" s="1"/>
  <c r="O224" i="2" l="1"/>
  <c r="O572" i="2"/>
  <c r="O143" i="2"/>
  <c r="O142" i="2" s="1"/>
  <c r="O138" i="2"/>
  <c r="O137" i="2" l="1"/>
  <c r="O631" i="2"/>
  <c r="O222" i="2" l="1"/>
  <c r="O221" i="2" s="1"/>
  <c r="O219" i="2"/>
  <c r="O384" i="2" l="1"/>
  <c r="O95" i="2" l="1"/>
  <c r="O326" i="2" l="1"/>
  <c r="O397" i="2" l="1"/>
  <c r="O587" i="2"/>
  <c r="O103" i="2"/>
  <c r="O102" i="2" s="1"/>
  <c r="O566" i="2" l="1"/>
  <c r="O692" i="2" l="1"/>
  <c r="O690" i="2" l="1"/>
  <c r="O78" i="2"/>
  <c r="O187" i="2"/>
  <c r="O185" i="2"/>
  <c r="O546" i="2" l="1"/>
  <c r="O548" i="2"/>
  <c r="O560" i="2"/>
  <c r="O494" i="2"/>
  <c r="O493" i="2" s="1"/>
  <c r="O492" i="2" s="1"/>
  <c r="O491" i="2" s="1"/>
  <c r="O545" i="2" l="1"/>
  <c r="O544" i="2" s="1"/>
  <c r="O543" i="2" s="1"/>
  <c r="N509" i="2"/>
  <c r="N508" i="2" s="1"/>
  <c r="N507" i="2" s="1"/>
  <c r="K509" i="2"/>
  <c r="K508" i="2" s="1"/>
  <c r="K507" i="2" s="1"/>
  <c r="O509" i="2"/>
  <c r="O508" i="2" s="1"/>
  <c r="O507" i="2" s="1"/>
  <c r="N242" i="2"/>
  <c r="K242" i="2"/>
  <c r="O106" i="2" l="1"/>
  <c r="N106" i="2"/>
  <c r="K106" i="2"/>
  <c r="N108" i="2"/>
  <c r="K108" i="2"/>
  <c r="O108" i="2"/>
  <c r="K105" i="2" l="1"/>
  <c r="N105" i="2"/>
  <c r="O105" i="2"/>
  <c r="N712" i="2"/>
  <c r="N710" i="2"/>
  <c r="N704" i="2"/>
  <c r="O702" i="2"/>
  <c r="N702" i="2"/>
  <c r="N697" i="2"/>
  <c r="N694" i="2"/>
  <c r="N685" i="2"/>
  <c r="N678" i="2"/>
  <c r="O676" i="2"/>
  <c r="N676" i="2"/>
  <c r="N673" i="2"/>
  <c r="O671" i="2"/>
  <c r="N671" i="2"/>
  <c r="O669" i="2"/>
  <c r="N669" i="2"/>
  <c r="O666" i="2"/>
  <c r="O665" i="2" s="1"/>
  <c r="O664" i="2" s="1"/>
  <c r="O663" i="2" s="1"/>
  <c r="N666" i="2"/>
  <c r="N665" i="2" s="1"/>
  <c r="N664" i="2" s="1"/>
  <c r="N663" i="2" s="1"/>
  <c r="O659" i="2"/>
  <c r="O658" i="2" s="1"/>
  <c r="N658" i="2"/>
  <c r="O654" i="2"/>
  <c r="N654" i="2"/>
  <c r="O653" i="2"/>
  <c r="O652" i="2" s="1"/>
  <c r="N652" i="2"/>
  <c r="O651" i="2"/>
  <c r="O650" i="2" s="1"/>
  <c r="N650" i="2"/>
  <c r="O647" i="2"/>
  <c r="O644" i="2" s="1"/>
  <c r="N647" i="2"/>
  <c r="N644" i="2" s="1"/>
  <c r="O635" i="2"/>
  <c r="O634" i="2" s="1"/>
  <c r="N635" i="2"/>
  <c r="N634" i="2" s="1"/>
  <c r="O630" i="2"/>
  <c r="N631" i="2"/>
  <c r="N630" i="2" s="1"/>
  <c r="O621" i="2"/>
  <c r="N621" i="2"/>
  <c r="O619" i="2"/>
  <c r="N619" i="2"/>
  <c r="O615" i="2"/>
  <c r="N615" i="2"/>
  <c r="O610" i="2"/>
  <c r="O609" i="2" s="1"/>
  <c r="O608" i="2" s="1"/>
  <c r="O607" i="2" s="1"/>
  <c r="N610" i="2"/>
  <c r="N609" i="2" s="1"/>
  <c r="N608" i="2" s="1"/>
  <c r="N607" i="2" s="1"/>
  <c r="O600" i="2"/>
  <c r="O599" i="2" s="1"/>
  <c r="N601" i="2"/>
  <c r="N600" i="2" s="1"/>
  <c r="N599" i="2" s="1"/>
  <c r="N593" i="2"/>
  <c r="N592" i="2" s="1"/>
  <c r="N591" i="2" s="1"/>
  <c r="O583" i="2"/>
  <c r="N583" i="2"/>
  <c r="N582" i="2" s="1"/>
  <c r="N581" i="2" s="1"/>
  <c r="O570" i="2"/>
  <c r="N570" i="2"/>
  <c r="O568" i="2"/>
  <c r="N568" i="2"/>
  <c r="O563" i="2"/>
  <c r="O559" i="2" s="1"/>
  <c r="O558" i="2" s="1"/>
  <c r="N563" i="2"/>
  <c r="N560" i="2"/>
  <c r="O530" i="2"/>
  <c r="O529" i="2" s="1"/>
  <c r="O528" i="2" s="1"/>
  <c r="O527" i="2" s="1"/>
  <c r="N530" i="2"/>
  <c r="N529" i="2" s="1"/>
  <c r="N528" i="2" s="1"/>
  <c r="N527" i="2" s="1"/>
  <c r="O513" i="2"/>
  <c r="O512" i="2" s="1"/>
  <c r="O511" i="2" s="1"/>
  <c r="O501" i="2" s="1"/>
  <c r="N513" i="2"/>
  <c r="N512" i="2" s="1"/>
  <c r="N511" i="2" s="1"/>
  <c r="N501" i="2" s="1"/>
  <c r="O486" i="2"/>
  <c r="O485" i="2" s="1"/>
  <c r="O484" i="2" s="1"/>
  <c r="O483" i="2" s="1"/>
  <c r="N486" i="2"/>
  <c r="N485" i="2" s="1"/>
  <c r="N484" i="2" s="1"/>
  <c r="N483" i="2" s="1"/>
  <c r="O476" i="2"/>
  <c r="O475" i="2" s="1"/>
  <c r="O474" i="2" s="1"/>
  <c r="N476" i="2"/>
  <c r="N475" i="2" s="1"/>
  <c r="N474" i="2" s="1"/>
  <c r="O472" i="2"/>
  <c r="O471" i="2" s="1"/>
  <c r="O470" i="2" s="1"/>
  <c r="N472" i="2"/>
  <c r="N471" i="2" s="1"/>
  <c r="N470" i="2" s="1"/>
  <c r="O468" i="2"/>
  <c r="O467" i="2" s="1"/>
  <c r="O466" i="2" s="1"/>
  <c r="N468" i="2"/>
  <c r="N467" i="2" s="1"/>
  <c r="N466" i="2" s="1"/>
  <c r="O463" i="2"/>
  <c r="O462" i="2" s="1"/>
  <c r="O461" i="2" s="1"/>
  <c r="N463" i="2"/>
  <c r="N462" i="2" s="1"/>
  <c r="N461" i="2" s="1"/>
  <c r="O458" i="2"/>
  <c r="O457" i="2" s="1"/>
  <c r="O456" i="2" s="1"/>
  <c r="O455" i="2" s="1"/>
  <c r="N458" i="2"/>
  <c r="N457" i="2" s="1"/>
  <c r="N456" i="2" s="1"/>
  <c r="N455" i="2" s="1"/>
  <c r="N451" i="2"/>
  <c r="N450" i="2" s="1"/>
  <c r="O451" i="2"/>
  <c r="O450" i="2" s="1"/>
  <c r="N448" i="2"/>
  <c r="N447" i="2" s="1"/>
  <c r="O448" i="2"/>
  <c r="O447" i="2" s="1"/>
  <c r="O443" i="2"/>
  <c r="O442" i="2" s="1"/>
  <c r="O441" i="2" s="1"/>
  <c r="O440" i="2" s="1"/>
  <c r="N443" i="2"/>
  <c r="N442" i="2" s="1"/>
  <c r="N441" i="2" s="1"/>
  <c r="N440" i="2" s="1"/>
  <c r="N434" i="2"/>
  <c r="N433" i="2" s="1"/>
  <c r="O431" i="2"/>
  <c r="O430" i="2" s="1"/>
  <c r="O429" i="2" s="1"/>
  <c r="O428" i="2" s="1"/>
  <c r="N431" i="2"/>
  <c r="N430" i="2" s="1"/>
  <c r="N429" i="2" s="1"/>
  <c r="N428" i="2" s="1"/>
  <c r="O422" i="2"/>
  <c r="O421" i="2" s="1"/>
  <c r="O420" i="2" s="1"/>
  <c r="O419" i="2" s="1"/>
  <c r="N422" i="2"/>
  <c r="N421" i="2" s="1"/>
  <c r="N420" i="2" s="1"/>
  <c r="N419" i="2" s="1"/>
  <c r="O412" i="2"/>
  <c r="O411" i="2" s="1"/>
  <c r="O410" i="2" s="1"/>
  <c r="N412" i="2"/>
  <c r="N411" i="2" s="1"/>
  <c r="N410" i="2" s="1"/>
  <c r="O400" i="2"/>
  <c r="O399" i="2" s="1"/>
  <c r="N400" i="2"/>
  <c r="N399" i="2" s="1"/>
  <c r="N397" i="2"/>
  <c r="O395" i="2"/>
  <c r="N395" i="2"/>
  <c r="N391" i="2"/>
  <c r="O388" i="2"/>
  <c r="N388" i="2"/>
  <c r="N384" i="2"/>
  <c r="O382" i="2"/>
  <c r="N382" i="2"/>
  <c r="O377" i="2"/>
  <c r="N377" i="2"/>
  <c r="O375" i="2"/>
  <c r="N375" i="2"/>
  <c r="O371" i="2"/>
  <c r="N371" i="2"/>
  <c r="N368" i="2"/>
  <c r="N365" i="2"/>
  <c r="N362" i="2"/>
  <c r="N354" i="2"/>
  <c r="N351" i="2"/>
  <c r="O349" i="2"/>
  <c r="N349" i="2"/>
  <c r="O347" i="2"/>
  <c r="N347" i="2"/>
  <c r="O342" i="2"/>
  <c r="N342" i="2"/>
  <c r="N339" i="2"/>
  <c r="O336" i="2"/>
  <c r="N336" i="2"/>
  <c r="N333" i="2"/>
  <c r="N330" i="2"/>
  <c r="N326" i="2"/>
  <c r="N317" i="2"/>
  <c r="N316" i="2" s="1"/>
  <c r="O314" i="2"/>
  <c r="O313" i="2" s="1"/>
  <c r="O312" i="2" s="1"/>
  <c r="N314" i="2"/>
  <c r="N313" i="2" s="1"/>
  <c r="O310" i="2"/>
  <c r="O309" i="2" s="1"/>
  <c r="O308" i="2" s="1"/>
  <c r="N310" i="2"/>
  <c r="N309" i="2" s="1"/>
  <c r="O305" i="2"/>
  <c r="O304" i="2" s="1"/>
  <c r="O303" i="2" s="1"/>
  <c r="O302" i="2" s="1"/>
  <c r="N305" i="2"/>
  <c r="N304" i="2" s="1"/>
  <c r="N303" i="2" s="1"/>
  <c r="N302" i="2" s="1"/>
  <c r="N298" i="2"/>
  <c r="N294" i="2"/>
  <c r="O290" i="2"/>
  <c r="O289" i="2" s="1"/>
  <c r="N290" i="2"/>
  <c r="N289" i="2" s="1"/>
  <c r="O279" i="2"/>
  <c r="O278" i="2" s="1"/>
  <c r="O277" i="2" s="1"/>
  <c r="O276" i="2" s="1"/>
  <c r="N279" i="2"/>
  <c r="N278" i="2" s="1"/>
  <c r="N277" i="2" s="1"/>
  <c r="N276" i="2" s="1"/>
  <c r="O272" i="2"/>
  <c r="N272" i="2"/>
  <c r="N271" i="2" s="1"/>
  <c r="N270" i="2" s="1"/>
  <c r="O267" i="2"/>
  <c r="N267" i="2"/>
  <c r="N266" i="2" s="1"/>
  <c r="N265" i="2" s="1"/>
  <c r="N258" i="2"/>
  <c r="N257" i="2" s="1"/>
  <c r="N256" i="2" s="1"/>
  <c r="N255" i="2" s="1"/>
  <c r="O253" i="2"/>
  <c r="N253" i="2"/>
  <c r="O251" i="2"/>
  <c r="N251" i="2"/>
  <c r="N237" i="2"/>
  <c r="O235" i="2"/>
  <c r="N235" i="2"/>
  <c r="O232" i="2"/>
  <c r="N232" i="2"/>
  <c r="O217" i="2"/>
  <c r="O214" i="2" s="1"/>
  <c r="N217" i="2"/>
  <c r="O215" i="2"/>
  <c r="N215" i="2"/>
  <c r="O212" i="2"/>
  <c r="N212" i="2"/>
  <c r="N205" i="2"/>
  <c r="O205" i="2"/>
  <c r="N199" i="2"/>
  <c r="O197" i="2"/>
  <c r="N197" i="2"/>
  <c r="N194" i="2"/>
  <c r="O192" i="2"/>
  <c r="N192" i="2"/>
  <c r="O190" i="2"/>
  <c r="N190" i="2"/>
  <c r="O183" i="2"/>
  <c r="N183" i="2"/>
  <c r="O181" i="2"/>
  <c r="N181" i="2"/>
  <c r="O179" i="2"/>
  <c r="N179" i="2"/>
  <c r="O171" i="2"/>
  <c r="N171" i="2"/>
  <c r="O169" i="2"/>
  <c r="N169" i="2"/>
  <c r="N164" i="2"/>
  <c r="N161" i="2"/>
  <c r="N157" i="2"/>
  <c r="N153" i="2"/>
  <c r="O151" i="2"/>
  <c r="N151" i="2"/>
  <c r="N143" i="2"/>
  <c r="N136" i="2" s="1"/>
  <c r="O134" i="2"/>
  <c r="N134" i="2"/>
  <c r="O132" i="2"/>
  <c r="N132" i="2"/>
  <c r="N120" i="2"/>
  <c r="N119" i="2" s="1"/>
  <c r="O80" i="2"/>
  <c r="N80" i="2"/>
  <c r="N54" i="2"/>
  <c r="O52" i="2"/>
  <c r="N52" i="2"/>
  <c r="N48" i="2"/>
  <c r="O46" i="2"/>
  <c r="N46" i="2"/>
  <c r="O44" i="2"/>
  <c r="N44" i="2"/>
  <c r="N32" i="2"/>
  <c r="N31" i="2" s="1"/>
  <c r="N30" i="2" s="1"/>
  <c r="N29" i="2" s="1"/>
  <c r="O27" i="2"/>
  <c r="O26" i="2" s="1"/>
  <c r="O25" i="2" s="1"/>
  <c r="O24" i="2" s="1"/>
  <c r="N27" i="2"/>
  <c r="N26" i="2" s="1"/>
  <c r="N25" i="2" s="1"/>
  <c r="N24" i="2" s="1"/>
  <c r="N22" i="2" s="1"/>
  <c r="N21" i="2" s="1"/>
  <c r="N20" i="2" s="1"/>
  <c r="N19" i="2" s="1"/>
  <c r="O614" i="2" l="1"/>
  <c r="O565" i="2"/>
  <c r="O307" i="2"/>
  <c r="N293" i="2"/>
  <c r="O613" i="2"/>
  <c r="O582" i="2"/>
  <c r="O581" i="2" s="1"/>
  <c r="O266" i="2"/>
  <c r="O265" i="2" s="1"/>
  <c r="O264" i="2" s="1"/>
  <c r="O231" i="2"/>
  <c r="O230" i="2" s="1"/>
  <c r="O229" i="2" s="1"/>
  <c r="O381" i="2"/>
  <c r="O153" i="2"/>
  <c r="O32" i="2"/>
  <c r="O333" i="2"/>
  <c r="O362" i="2"/>
  <c r="O316" i="2"/>
  <c r="O365" i="2"/>
  <c r="O298" i="2"/>
  <c r="O368" i="2"/>
  <c r="O694" i="2"/>
  <c r="O199" i="2"/>
  <c r="O339" i="2"/>
  <c r="O433" i="2"/>
  <c r="O258" i="2"/>
  <c r="O257" i="2" s="1"/>
  <c r="O256" i="2" s="1"/>
  <c r="O255" i="2" s="1"/>
  <c r="O351" i="2"/>
  <c r="O704" i="2"/>
  <c r="O701" i="2" s="1"/>
  <c r="O700" i="2" s="1"/>
  <c r="O354" i="2"/>
  <c r="N701" i="2"/>
  <c r="N700" i="2" s="1"/>
  <c r="N288" i="2"/>
  <c r="N287" i="2" s="1"/>
  <c r="O330" i="2"/>
  <c r="O446" i="2"/>
  <c r="O445" i="2" s="1"/>
  <c r="N709" i="2"/>
  <c r="N708" i="2" s="1"/>
  <c r="O697" i="2"/>
  <c r="O673" i="2"/>
  <c r="N668" i="2"/>
  <c r="O649" i="2"/>
  <c r="O638" i="2" s="1"/>
  <c r="N649" i="2"/>
  <c r="N638" i="2" s="1"/>
  <c r="N637" i="2" s="1"/>
  <c r="O629" i="2"/>
  <c r="N629" i="2"/>
  <c r="N614" i="2"/>
  <c r="N613" i="2" s="1"/>
  <c r="O598" i="2"/>
  <c r="N598" i="2"/>
  <c r="O592" i="2"/>
  <c r="O591" i="2" s="1"/>
  <c r="N580" i="2"/>
  <c r="O557" i="2"/>
  <c r="N565" i="2"/>
  <c r="N559" i="2"/>
  <c r="O460" i="2"/>
  <c r="N460" i="2"/>
  <c r="N446" i="2"/>
  <c r="N445" i="2" s="1"/>
  <c r="N390" i="2"/>
  <c r="O391" i="2"/>
  <c r="O390" i="2" s="1"/>
  <c r="N381" i="2"/>
  <c r="N325" i="2"/>
  <c r="N308" i="2"/>
  <c r="N307" i="2" s="1"/>
  <c r="N301" i="2" s="1"/>
  <c r="O294" i="2"/>
  <c r="O288" i="2"/>
  <c r="O287" i="2" s="1"/>
  <c r="N264" i="2"/>
  <c r="N231" i="2"/>
  <c r="N230" i="2" s="1"/>
  <c r="N229" i="2" s="1"/>
  <c r="N214" i="2"/>
  <c r="O194" i="2"/>
  <c r="N189" i="2"/>
  <c r="O164" i="2"/>
  <c r="O157" i="2"/>
  <c r="N150" i="2"/>
  <c r="O136" i="2"/>
  <c r="O131" i="2"/>
  <c r="N131" i="2"/>
  <c r="N118" i="2" s="1"/>
  <c r="N117" i="2" s="1"/>
  <c r="O120" i="2"/>
  <c r="O119" i="2" s="1"/>
  <c r="O118" i="2" s="1"/>
  <c r="O54" i="2"/>
  <c r="O43" i="2" s="1"/>
  <c r="N43" i="2"/>
  <c r="K217" i="2"/>
  <c r="K215" i="2"/>
  <c r="K151" i="2"/>
  <c r="K134" i="2"/>
  <c r="K132" i="2"/>
  <c r="O637" i="2" l="1"/>
  <c r="O580" i="2"/>
  <c r="O189" i="2"/>
  <c r="O325" i="2"/>
  <c r="O324" i="2" s="1"/>
  <c r="O668" i="2"/>
  <c r="O31" i="2"/>
  <c r="O30" i="2" s="1"/>
  <c r="O29" i="2" s="1"/>
  <c r="O150" i="2"/>
  <c r="O293" i="2"/>
  <c r="K214" i="2"/>
  <c r="K131" i="2"/>
  <c r="O301" i="2"/>
  <c r="N42" i="2"/>
  <c r="N41" i="2" s="1"/>
  <c r="N13" i="2" s="1"/>
  <c r="O612" i="2"/>
  <c r="N612" i="2"/>
  <c r="N558" i="2"/>
  <c r="N557" i="2" s="1"/>
  <c r="N324" i="2"/>
  <c r="N323" i="2" s="1"/>
  <c r="N322" i="2" s="1"/>
  <c r="N149" i="2"/>
  <c r="N148" i="2" s="1"/>
  <c r="N147" i="2" s="1"/>
  <c r="O117" i="2"/>
  <c r="K388" i="2"/>
  <c r="K373" i="2"/>
  <c r="L373" i="2"/>
  <c r="M373" i="2"/>
  <c r="O323" i="2" l="1"/>
  <c r="O322" i="2" s="1"/>
  <c r="O439" i="2"/>
  <c r="O42" i="2"/>
  <c r="O41" i="2" s="1"/>
  <c r="O13" i="2" s="1"/>
  <c r="O149" i="2"/>
  <c r="O148" i="2" s="1"/>
  <c r="O147" i="2" s="1"/>
  <c r="N439" i="2"/>
  <c r="N716" i="2" s="1"/>
  <c r="K568" i="2"/>
  <c r="K570" i="2"/>
  <c r="K671" i="2"/>
  <c r="K560" i="2"/>
  <c r="K476" i="2"/>
  <c r="K475" i="2" s="1"/>
  <c r="K474" i="2" s="1"/>
  <c r="K472" i="2"/>
  <c r="K471" i="2" s="1"/>
  <c r="K470" i="2" s="1"/>
  <c r="K565" i="2" l="1"/>
  <c r="K391" i="2"/>
  <c r="K395" i="2"/>
  <c r="K397" i="2"/>
  <c r="K48" i="2"/>
  <c r="K713" i="2"/>
  <c r="M714" i="2"/>
  <c r="K711" i="2"/>
  <c r="M711" i="2" s="1"/>
  <c r="M710" i="2" s="1"/>
  <c r="K212" i="2"/>
  <c r="K164" i="2"/>
  <c r="K129" i="2"/>
  <c r="K128" i="2" s="1"/>
  <c r="K210" i="2"/>
  <c r="K208" i="2"/>
  <c r="K486" i="2"/>
  <c r="K485" i="2" s="1"/>
  <c r="K489" i="2"/>
  <c r="K488" i="2" s="1"/>
  <c r="K658" i="2"/>
  <c r="K412" i="2"/>
  <c r="K411" i="2" s="1"/>
  <c r="K410" i="2" s="1"/>
  <c r="K157" i="2"/>
  <c r="K153" i="2"/>
  <c r="K326" i="2"/>
  <c r="K563" i="2"/>
  <c r="K559" i="2" s="1"/>
  <c r="L712" i="2"/>
  <c r="M329" i="2"/>
  <c r="M326" i="2" s="1"/>
  <c r="M372" i="2"/>
  <c r="M371" i="2" s="1"/>
  <c r="L88" i="2"/>
  <c r="L87" i="2" s="1"/>
  <c r="L86" i="2" s="1"/>
  <c r="K377" i="2"/>
  <c r="L377" i="2"/>
  <c r="M378" i="2"/>
  <c r="M377" i="2" s="1"/>
  <c r="M367" i="2"/>
  <c r="M366" i="2"/>
  <c r="M168" i="2"/>
  <c r="M165" i="2"/>
  <c r="L298" i="2"/>
  <c r="M299" i="2"/>
  <c r="M300" i="2"/>
  <c r="K82" i="2"/>
  <c r="L82" i="2"/>
  <c r="L84" i="2"/>
  <c r="K84" i="2"/>
  <c r="M85" i="2"/>
  <c r="M84" i="2" s="1"/>
  <c r="M83" i="2"/>
  <c r="M82" i="2" s="1"/>
  <c r="M335" i="2"/>
  <c r="M333" i="2" s="1"/>
  <c r="M158" i="2"/>
  <c r="M157" i="2" s="1"/>
  <c r="M162" i="2"/>
  <c r="M161" i="2" s="1"/>
  <c r="M197" i="2"/>
  <c r="M206" i="2"/>
  <c r="M205" i="2" s="1"/>
  <c r="L710" i="2"/>
  <c r="M444" i="2"/>
  <c r="M443" i="2" s="1"/>
  <c r="M442" i="2" s="1"/>
  <c r="M441" i="2" s="1"/>
  <c r="M440" i="2" s="1"/>
  <c r="M49" i="2"/>
  <c r="M48" i="2" s="1"/>
  <c r="L443" i="2"/>
  <c r="L442" i="2" s="1"/>
  <c r="L441" i="2" s="1"/>
  <c r="L440" i="2" s="1"/>
  <c r="L48" i="2"/>
  <c r="M344" i="2"/>
  <c r="M343" i="2"/>
  <c r="K453" i="2"/>
  <c r="L205" i="2"/>
  <c r="K205" i="2"/>
  <c r="L192" i="2"/>
  <c r="K192" i="2"/>
  <c r="M193" i="2"/>
  <c r="M192" i="2" s="1"/>
  <c r="L453" i="2"/>
  <c r="M454" i="2"/>
  <c r="M453" i="2" s="1"/>
  <c r="L451" i="2"/>
  <c r="K451" i="2"/>
  <c r="M452" i="2"/>
  <c r="M451" i="2" s="1"/>
  <c r="L448" i="2"/>
  <c r="L447" i="2" s="1"/>
  <c r="M449" i="2"/>
  <c r="M448" i="2" s="1"/>
  <c r="M447" i="2" s="1"/>
  <c r="L169" i="2"/>
  <c r="K169" i="2"/>
  <c r="M170" i="2"/>
  <c r="M169" i="2" s="1"/>
  <c r="L161" i="2"/>
  <c r="L153" i="2"/>
  <c r="L157" i="2"/>
  <c r="L164" i="2"/>
  <c r="M401" i="2"/>
  <c r="M400" i="2" s="1"/>
  <c r="M399" i="2" s="1"/>
  <c r="M394" i="2" s="1"/>
  <c r="M651" i="2"/>
  <c r="M650" i="2" s="1"/>
  <c r="L650" i="2"/>
  <c r="K650" i="2"/>
  <c r="M166" i="2"/>
  <c r="M79" i="2"/>
  <c r="M78" i="2" s="1"/>
  <c r="L78" i="2"/>
  <c r="K78" i="2"/>
  <c r="L314" i="2"/>
  <c r="L313" i="2" s="1"/>
  <c r="L308" i="2" s="1"/>
  <c r="L307" i="2" s="1"/>
  <c r="K314" i="2"/>
  <c r="K313" i="2" s="1"/>
  <c r="M315" i="2"/>
  <c r="M314" i="2" s="1"/>
  <c r="M313" i="2" s="1"/>
  <c r="L126" i="2"/>
  <c r="K126" i="2"/>
  <c r="M127" i="2"/>
  <c r="M126" i="2" s="1"/>
  <c r="L35" i="2"/>
  <c r="K35" i="2"/>
  <c r="M37" i="2"/>
  <c r="M36" i="2"/>
  <c r="L541" i="2"/>
  <c r="L538" i="2" s="1"/>
  <c r="L537" i="2" s="1"/>
  <c r="L536" i="2" s="1"/>
  <c r="K541" i="2"/>
  <c r="M542" i="2"/>
  <c r="M541" i="2" s="1"/>
  <c r="L629" i="2"/>
  <c r="L619" i="2"/>
  <c r="K619" i="2"/>
  <c r="M620" i="2"/>
  <c r="M619" i="2" s="1"/>
  <c r="L32" i="2"/>
  <c r="K32" i="2"/>
  <c r="M34" i="2"/>
  <c r="M33" i="2"/>
  <c r="L124" i="2"/>
  <c r="K124" i="2"/>
  <c r="M125" i="2"/>
  <c r="M124" i="2" s="1"/>
  <c r="L120" i="2"/>
  <c r="L119" i="2" s="1"/>
  <c r="K120" i="2"/>
  <c r="K119" i="2" s="1"/>
  <c r="K118" i="2" s="1"/>
  <c r="M121" i="2"/>
  <c r="M122" i="2"/>
  <c r="L621" i="2"/>
  <c r="K621" i="2"/>
  <c r="M622" i="2"/>
  <c r="M621" i="2" s="1"/>
  <c r="M234" i="2"/>
  <c r="M232" i="2" s="1"/>
  <c r="L666" i="2"/>
  <c r="L665" i="2" s="1"/>
  <c r="L664" i="2" s="1"/>
  <c r="L663" i="2" s="1"/>
  <c r="K666" i="2"/>
  <c r="K665" i="2" s="1"/>
  <c r="K664" i="2" s="1"/>
  <c r="K663" i="2" s="1"/>
  <c r="M667" i="2"/>
  <c r="M666" i="2" s="1"/>
  <c r="M665" i="2" s="1"/>
  <c r="M664" i="2" s="1"/>
  <c r="M663" i="2" s="1"/>
  <c r="L593" i="2"/>
  <c r="L592" i="2" s="1"/>
  <c r="L591" i="2" s="1"/>
  <c r="L580" i="2" s="1"/>
  <c r="M596" i="2"/>
  <c r="M597" i="2"/>
  <c r="M594" i="2"/>
  <c r="L513" i="2"/>
  <c r="L512" i="2" s="1"/>
  <c r="L511" i="2" s="1"/>
  <c r="K513" i="2"/>
  <c r="K512" i="2" s="1"/>
  <c r="K511" i="2" s="1"/>
  <c r="K501" i="2" s="1"/>
  <c r="M514" i="2"/>
  <c r="M513" i="2" s="1"/>
  <c r="M512" i="2" s="1"/>
  <c r="M511" i="2" s="1"/>
  <c r="L601" i="2"/>
  <c r="L600" i="2" s="1"/>
  <c r="L598" i="2" s="1"/>
  <c r="K601" i="2"/>
  <c r="K603" i="2"/>
  <c r="M602" i="2"/>
  <c r="M601" i="2" s="1"/>
  <c r="M603" i="2"/>
  <c r="L678" i="2"/>
  <c r="M680" i="2"/>
  <c r="M679" i="2"/>
  <c r="M682" i="2"/>
  <c r="M694" i="2"/>
  <c r="L232" i="2"/>
  <c r="L237" i="2"/>
  <c r="L242" i="2"/>
  <c r="L235" i="2"/>
  <c r="K232" i="2"/>
  <c r="K237" i="2"/>
  <c r="K251" i="2"/>
  <c r="K253" i="2"/>
  <c r="K235" i="2"/>
  <c r="M241" i="2"/>
  <c r="M239" i="2"/>
  <c r="M245" i="2"/>
  <c r="M244" i="2"/>
  <c r="M250" i="2"/>
  <c r="M154" i="2"/>
  <c r="M153" i="2" s="1"/>
  <c r="M236" i="2"/>
  <c r="M235" i="2" s="1"/>
  <c r="L330" i="2"/>
  <c r="K330" i="2"/>
  <c r="M332" i="2"/>
  <c r="M331" i="2"/>
  <c r="L644" i="2"/>
  <c r="L656" i="2"/>
  <c r="M657" i="2"/>
  <c r="M656" i="2" s="1"/>
  <c r="L518" i="2"/>
  <c r="L517" i="2" s="1"/>
  <c r="L516" i="2" s="1"/>
  <c r="K518" i="2"/>
  <c r="M519" i="2"/>
  <c r="M518" i="2" s="1"/>
  <c r="M520" i="2"/>
  <c r="M523" i="2"/>
  <c r="M525" i="2"/>
  <c r="L685" i="2"/>
  <c r="K685" i="2"/>
  <c r="M689" i="2"/>
  <c r="M686" i="2"/>
  <c r="L504" i="2"/>
  <c r="L503" i="2" s="1"/>
  <c r="L502" i="2" s="1"/>
  <c r="M506" i="2"/>
  <c r="M504" i="2" s="1"/>
  <c r="M503" i="2" s="1"/>
  <c r="M502" i="2" s="1"/>
  <c r="L408" i="2"/>
  <c r="L407" i="2" s="1"/>
  <c r="L400" i="2"/>
  <c r="L399" i="2" s="1"/>
  <c r="L391" i="2"/>
  <c r="L390" i="2" s="1"/>
  <c r="M391" i="2"/>
  <c r="M390" i="2" s="1"/>
  <c r="L382" i="2"/>
  <c r="L375" i="2"/>
  <c r="M375" i="2"/>
  <c r="L371" i="2"/>
  <c r="L368" i="2"/>
  <c r="M368" i="2"/>
  <c r="L365" i="2"/>
  <c r="L362" i="2"/>
  <c r="M362" i="2"/>
  <c r="L354" i="2"/>
  <c r="M354" i="2"/>
  <c r="L351" i="2"/>
  <c r="M351" i="2"/>
  <c r="L349" i="2"/>
  <c r="M349" i="2"/>
  <c r="L347" i="2"/>
  <c r="M347" i="2"/>
  <c r="E64" i="3" s="1"/>
  <c r="L342" i="2"/>
  <c r="L339" i="2"/>
  <c r="M339" i="2"/>
  <c r="L336" i="2"/>
  <c r="M336" i="2"/>
  <c r="L333" i="2"/>
  <c r="L326" i="2"/>
  <c r="M385" i="2"/>
  <c r="L384" i="2"/>
  <c r="K408" i="2"/>
  <c r="K407" i="2" s="1"/>
  <c r="M409" i="2"/>
  <c r="M408" i="2" s="1"/>
  <c r="M407" i="2" s="1"/>
  <c r="K384" i="2"/>
  <c r="K382" i="2"/>
  <c r="L615" i="2"/>
  <c r="L305" i="2"/>
  <c r="L304" i="2" s="1"/>
  <c r="L303" i="2" s="1"/>
  <c r="L302" i="2" s="1"/>
  <c r="M306" i="2"/>
  <c r="M305" i="2" s="1"/>
  <c r="M304" i="2" s="1"/>
  <c r="M303" i="2" s="1"/>
  <c r="M302" i="2" s="1"/>
  <c r="K58" i="2"/>
  <c r="M58" i="2"/>
  <c r="K61" i="2"/>
  <c r="M61" i="2"/>
  <c r="K63" i="2"/>
  <c r="K65" i="2"/>
  <c r="M63" i="2"/>
  <c r="M65" i="2"/>
  <c r="K69" i="2"/>
  <c r="K68" i="2" s="1"/>
  <c r="K67" i="2" s="1"/>
  <c r="M69" i="2"/>
  <c r="M68" i="2" s="1"/>
  <c r="M67" i="2" s="1"/>
  <c r="K74" i="2"/>
  <c r="K73" i="2" s="1"/>
  <c r="K72" i="2" s="1"/>
  <c r="M74" i="2"/>
  <c r="M73" i="2" s="1"/>
  <c r="M72" i="2" s="1"/>
  <c r="K704" i="2"/>
  <c r="K702" i="2"/>
  <c r="K697" i="2"/>
  <c r="K694" i="2"/>
  <c r="K678" i="2"/>
  <c r="K676" i="2"/>
  <c r="K673" i="2"/>
  <c r="K669" i="2"/>
  <c r="K656" i="2"/>
  <c r="K654" i="2"/>
  <c r="K652" i="2"/>
  <c r="K647" i="2"/>
  <c r="K644" i="2" s="1"/>
  <c r="K645" i="2"/>
  <c r="K640" i="2"/>
  <c r="K639" i="2" s="1"/>
  <c r="K635" i="2"/>
  <c r="K634" i="2" s="1"/>
  <c r="K631" i="2"/>
  <c r="K630" i="2" s="1"/>
  <c r="K623" i="2"/>
  <c r="K615" i="2"/>
  <c r="K610" i="2"/>
  <c r="K609" i="2" s="1"/>
  <c r="K608" i="2" s="1"/>
  <c r="K607" i="2" s="1"/>
  <c r="K593" i="2"/>
  <c r="K592" i="2" s="1"/>
  <c r="K591" i="2" s="1"/>
  <c r="K585" i="2"/>
  <c r="K583" i="2"/>
  <c r="K539" i="2"/>
  <c r="K534" i="2"/>
  <c r="K533" i="2" s="1"/>
  <c r="K530" i="2"/>
  <c r="K529" i="2" s="1"/>
  <c r="K525" i="2"/>
  <c r="K523" i="2"/>
  <c r="K520" i="2"/>
  <c r="K504" i="2"/>
  <c r="K503" i="2" s="1"/>
  <c r="K502" i="2" s="1"/>
  <c r="K468" i="2"/>
  <c r="K467" i="2" s="1"/>
  <c r="K466" i="2" s="1"/>
  <c r="K463" i="2"/>
  <c r="K462" i="2" s="1"/>
  <c r="K461" i="2" s="1"/>
  <c r="K458" i="2"/>
  <c r="K457" i="2" s="1"/>
  <c r="K456" i="2" s="1"/>
  <c r="K455" i="2" s="1"/>
  <c r="K448" i="2"/>
  <c r="K447" i="2" s="1"/>
  <c r="K443" i="2"/>
  <c r="K442" i="2" s="1"/>
  <c r="K434" i="2"/>
  <c r="K433" i="2" s="1"/>
  <c r="K431" i="2"/>
  <c r="K430" i="2" s="1"/>
  <c r="K429" i="2" s="1"/>
  <c r="K428" i="2" s="1"/>
  <c r="K426" i="2"/>
  <c r="K422" i="2"/>
  <c r="K404" i="2"/>
  <c r="K403" i="2" s="1"/>
  <c r="K402" i="2" s="1"/>
  <c r="K400" i="2"/>
  <c r="K399" i="2" s="1"/>
  <c r="K394" i="2" s="1"/>
  <c r="K375" i="2"/>
  <c r="K371" i="2"/>
  <c r="K368" i="2"/>
  <c r="K365" i="2"/>
  <c r="K362" i="2"/>
  <c r="K354" i="2"/>
  <c r="K351" i="2"/>
  <c r="K349" i="2"/>
  <c r="K347" i="2"/>
  <c r="K345" i="2"/>
  <c r="K342" i="2"/>
  <c r="K339" i="2"/>
  <c r="K336" i="2"/>
  <c r="K333" i="2"/>
  <c r="K317" i="2"/>
  <c r="K316" i="2" s="1"/>
  <c r="K310" i="2"/>
  <c r="K309" i="2" s="1"/>
  <c r="K305" i="2"/>
  <c r="K304" i="2" s="1"/>
  <c r="K303" i="2" s="1"/>
  <c r="K302" i="2" s="1"/>
  <c r="K298" i="2"/>
  <c r="K294" i="2"/>
  <c r="K290" i="2"/>
  <c r="K288" i="2" s="1"/>
  <c r="K287" i="2" s="1"/>
  <c r="K284" i="2"/>
  <c r="K283" i="2" s="1"/>
  <c r="K282" i="2" s="1"/>
  <c r="K279" i="2"/>
  <c r="K278" i="2" s="1"/>
  <c r="K277" i="2" s="1"/>
  <c r="K276" i="2" s="1"/>
  <c r="K274" i="2"/>
  <c r="K272" i="2"/>
  <c r="K267" i="2"/>
  <c r="K266" i="2" s="1"/>
  <c r="K265" i="2" s="1"/>
  <c r="K262" i="2"/>
  <c r="K258" i="2"/>
  <c r="K199" i="2"/>
  <c r="K197" i="2"/>
  <c r="K194" i="2"/>
  <c r="K190" i="2"/>
  <c r="K183" i="2"/>
  <c r="K181" i="2"/>
  <c r="K179" i="2"/>
  <c r="K173" i="2"/>
  <c r="K171" i="2"/>
  <c r="K161" i="2"/>
  <c r="K143" i="2"/>
  <c r="K136" i="2" s="1"/>
  <c r="K87" i="2"/>
  <c r="K86" i="2" s="1"/>
  <c r="K80" i="2"/>
  <c r="K54" i="2"/>
  <c r="K52" i="2"/>
  <c r="K46" i="2"/>
  <c r="K44" i="2"/>
  <c r="K27" i="2"/>
  <c r="K26" i="2" s="1"/>
  <c r="K25" i="2" s="1"/>
  <c r="K24" i="2" s="1"/>
  <c r="K22" i="2" s="1"/>
  <c r="K21" i="2" s="1"/>
  <c r="K20" i="2" s="1"/>
  <c r="K19" i="2" s="1"/>
  <c r="K17" i="2"/>
  <c r="K16" i="2" s="1"/>
  <c r="K15" i="2" s="1"/>
  <c r="K14" i="2" s="1"/>
  <c r="M196" i="2"/>
  <c r="M194" i="2" s="1"/>
  <c r="M489" i="2"/>
  <c r="M488" i="2" s="1"/>
  <c r="M258" i="2"/>
  <c r="M262" i="2"/>
  <c r="M704" i="2"/>
  <c r="M697" i="2"/>
  <c r="M279" i="2"/>
  <c r="M278" i="2" s="1"/>
  <c r="M277" i="2" s="1"/>
  <c r="M276" i="2" s="1"/>
  <c r="M183" i="2"/>
  <c r="M80" i="2"/>
  <c r="M199" i="2"/>
  <c r="M458" i="2"/>
  <c r="M457" i="2" s="1"/>
  <c r="M456" i="2" s="1"/>
  <c r="M455" i="2" s="1"/>
  <c r="M702" i="2"/>
  <c r="M317" i="2"/>
  <c r="M316" i="2" s="1"/>
  <c r="M54" i="2"/>
  <c r="M143" i="2"/>
  <c r="M136" i="2" s="1"/>
  <c r="M654" i="2"/>
  <c r="M585" i="2"/>
  <c r="M404" i="2"/>
  <c r="M403" i="2" s="1"/>
  <c r="M402" i="2" s="1"/>
  <c r="M345" i="2"/>
  <c r="M253" i="2"/>
  <c r="M27" i="2"/>
  <c r="M26" i="2" s="1"/>
  <c r="M25" i="2" s="1"/>
  <c r="M24" i="2" s="1"/>
  <c r="M22" i="2" s="1"/>
  <c r="M21" i="2" s="1"/>
  <c r="M20" i="2" s="1"/>
  <c r="M19" i="2" s="1"/>
  <c r="M652" i="2"/>
  <c r="M645" i="2"/>
  <c r="M534" i="2"/>
  <c r="M533" i="2" s="1"/>
  <c r="M468" i="2"/>
  <c r="M467" i="2" s="1"/>
  <c r="M466" i="2" s="1"/>
  <c r="M251" i="2"/>
  <c r="M284" i="2"/>
  <c r="M283" i="2" s="1"/>
  <c r="M282" i="2" s="1"/>
  <c r="M290" i="2"/>
  <c r="M288" i="2" s="1"/>
  <c r="M287" i="2" s="1"/>
  <c r="M431" i="2"/>
  <c r="M430" i="2" s="1"/>
  <c r="M429" i="2" s="1"/>
  <c r="M428" i="2" s="1"/>
  <c r="M267" i="2"/>
  <c r="M266" i="2" s="1"/>
  <c r="M265" i="2" s="1"/>
  <c r="M181" i="2"/>
  <c r="M179" i="2"/>
  <c r="M17" i="2"/>
  <c r="M16" i="2" s="1"/>
  <c r="M15" i="2" s="1"/>
  <c r="M14" i="2" s="1"/>
  <c r="M434" i="2"/>
  <c r="M433" i="2" s="1"/>
  <c r="M426" i="2"/>
  <c r="M422" i="2"/>
  <c r="M310" i="2"/>
  <c r="M309" i="2" s="1"/>
  <c r="M294" i="2"/>
  <c r="M274" i="2"/>
  <c r="M272" i="2"/>
  <c r="M463" i="2"/>
  <c r="M462" i="2" s="1"/>
  <c r="M461" i="2" s="1"/>
  <c r="M52" i="2"/>
  <c r="M46" i="2"/>
  <c r="M44" i="2"/>
  <c r="M623" i="2"/>
  <c r="M647" i="2"/>
  <c r="M644" i="2" s="1"/>
  <c r="M669" i="2"/>
  <c r="M673" i="2"/>
  <c r="E23" i="3" s="1"/>
  <c r="M676" i="2"/>
  <c r="E11" i="3" s="1"/>
  <c r="M173" i="2"/>
  <c r="M171" i="2"/>
  <c r="M190" i="2"/>
  <c r="M610" i="2"/>
  <c r="M609" i="2" s="1"/>
  <c r="M608" i="2" s="1"/>
  <c r="M640" i="2"/>
  <c r="M639" i="2" s="1"/>
  <c r="M631" i="2"/>
  <c r="E34" i="3" s="1"/>
  <c r="M635" i="2"/>
  <c r="M634" i="2" s="1"/>
  <c r="M583" i="2"/>
  <c r="M530" i="2"/>
  <c r="M529" i="2" s="1"/>
  <c r="M539" i="2"/>
  <c r="E65" i="3"/>
  <c r="M486" i="2"/>
  <c r="M485" i="2" s="1"/>
  <c r="E76" i="3"/>
  <c r="E75" i="3" s="1"/>
  <c r="E20" i="3"/>
  <c r="E19" i="3" s="1"/>
  <c r="E78" i="3"/>
  <c r="E77" i="3" s="1"/>
  <c r="E53" i="3"/>
  <c r="E52" i="3" s="1"/>
  <c r="E54" i="3"/>
  <c r="E50" i="3"/>
  <c r="M383" i="2"/>
  <c r="M382" i="2" s="1"/>
  <c r="M387" i="2"/>
  <c r="M616" i="2"/>
  <c r="M615" i="2" s="1"/>
  <c r="M88" i="2" l="1"/>
  <c r="M87" i="2" s="1"/>
  <c r="M86" i="2" s="1"/>
  <c r="M517" i="2"/>
  <c r="L649" i="2"/>
  <c r="L638" i="2" s="1"/>
  <c r="L637" i="2" s="1"/>
  <c r="K381" i="2"/>
  <c r="M685" i="2"/>
  <c r="E17" i="3" s="1"/>
  <c r="E12" i="3"/>
  <c r="K60" i="2"/>
  <c r="M289" i="2"/>
  <c r="K600" i="2"/>
  <c r="K599" i="2" s="1"/>
  <c r="K450" i="2"/>
  <c r="K446" i="2" s="1"/>
  <c r="K445" i="2" s="1"/>
  <c r="M298" i="2"/>
  <c r="M293" i="2" s="1"/>
  <c r="K293" i="2"/>
  <c r="M330" i="2"/>
  <c r="M237" i="2"/>
  <c r="L189" i="2"/>
  <c r="M365" i="2"/>
  <c r="K31" i="2"/>
  <c r="K30" i="2" s="1"/>
  <c r="K29" i="2" s="1"/>
  <c r="M713" i="2"/>
  <c r="M712" i="2" s="1"/>
  <c r="E15" i="3" s="1"/>
  <c r="O712" i="2"/>
  <c r="K712" i="2"/>
  <c r="M484" i="2"/>
  <c r="E24" i="3" s="1"/>
  <c r="E22" i="3" s="1"/>
  <c r="M582" i="2"/>
  <c r="M581" i="2" s="1"/>
  <c r="K441" i="2"/>
  <c r="K440" i="2" s="1"/>
  <c r="K649" i="2"/>
  <c r="K638" i="2" s="1"/>
  <c r="K637" i="2" s="1"/>
  <c r="M60" i="2"/>
  <c r="M384" i="2"/>
  <c r="M381" i="2" s="1"/>
  <c r="L123" i="2"/>
  <c r="L31" i="2"/>
  <c r="L30" i="2" s="1"/>
  <c r="L29" i="2" s="1"/>
  <c r="M35" i="2"/>
  <c r="L150" i="2"/>
  <c r="L709" i="2"/>
  <c r="K43" i="2"/>
  <c r="K150" i="2"/>
  <c r="M281" i="2"/>
  <c r="K271" i="2"/>
  <c r="K270" i="2" s="1"/>
  <c r="K264" i="2" s="1"/>
  <c r="K582" i="2"/>
  <c r="K581" i="2" s="1"/>
  <c r="K580" i="2" s="1"/>
  <c r="K614" i="2"/>
  <c r="K613" i="2" s="1"/>
  <c r="K701" i="2"/>
  <c r="K700" i="2" s="1"/>
  <c r="L118" i="2"/>
  <c r="L117" i="2" s="1"/>
  <c r="M32" i="2"/>
  <c r="K710" i="2"/>
  <c r="O710" i="2"/>
  <c r="M342" i="2"/>
  <c r="E67" i="3" s="1"/>
  <c r="K325" i="2"/>
  <c r="M257" i="2"/>
  <c r="M256" i="2" s="1"/>
  <c r="M255" i="2" s="1"/>
  <c r="E68" i="3"/>
  <c r="M271" i="2"/>
  <c r="M270" i="2" s="1"/>
  <c r="M264" i="2" s="1"/>
  <c r="M421" i="2"/>
  <c r="M420" i="2" s="1"/>
  <c r="M419" i="2" s="1"/>
  <c r="K421" i="2"/>
  <c r="K420" i="2" s="1"/>
  <c r="K419" i="2" s="1"/>
  <c r="K517" i="2"/>
  <c r="L614" i="2"/>
  <c r="L613" i="2" s="1"/>
  <c r="L612" i="2" s="1"/>
  <c r="L381" i="2"/>
  <c r="M522" i="2"/>
  <c r="M242" i="2"/>
  <c r="M231" i="2" s="1"/>
  <c r="M230" i="2" s="1"/>
  <c r="M229" i="2" s="1"/>
  <c r="L231" i="2"/>
  <c r="L230" i="2" s="1"/>
  <c r="L229" i="2" s="1"/>
  <c r="M678" i="2"/>
  <c r="E13" i="3" s="1"/>
  <c r="M600" i="2"/>
  <c r="M598" i="2" s="1"/>
  <c r="M593" i="2"/>
  <c r="M592" i="2" s="1"/>
  <c r="M591" i="2" s="1"/>
  <c r="M120" i="2"/>
  <c r="M119" i="2" s="1"/>
  <c r="K123" i="2"/>
  <c r="M164" i="2"/>
  <c r="E51" i="3" s="1"/>
  <c r="K484" i="2"/>
  <c r="K483" i="2" s="1"/>
  <c r="M528" i="2"/>
  <c r="M527" i="2" s="1"/>
  <c r="L325" i="2"/>
  <c r="K231" i="2"/>
  <c r="K230" i="2" s="1"/>
  <c r="K229" i="2" s="1"/>
  <c r="K189" i="2"/>
  <c r="K257" i="2"/>
  <c r="K256" i="2" s="1"/>
  <c r="K255" i="2" s="1"/>
  <c r="K460" i="2"/>
  <c r="K522" i="2"/>
  <c r="K538" i="2"/>
  <c r="K537" i="2" s="1"/>
  <c r="K536" i="2" s="1"/>
  <c r="K668" i="2"/>
  <c r="L43" i="2"/>
  <c r="L42" i="2" s="1"/>
  <c r="L41" i="2" s="1"/>
  <c r="L450" i="2"/>
  <c r="L446" i="2" s="1"/>
  <c r="L445" i="2" s="1"/>
  <c r="K558" i="2"/>
  <c r="K557" i="2" s="1"/>
  <c r="K207" i="2"/>
  <c r="K390" i="2"/>
  <c r="E63" i="3"/>
  <c r="E46" i="3"/>
  <c r="E45" i="3" s="1"/>
  <c r="K308" i="2"/>
  <c r="K307" i="2" s="1"/>
  <c r="K301" i="2" s="1"/>
  <c r="M460" i="2"/>
  <c r="M450" i="2"/>
  <c r="M446" i="2" s="1"/>
  <c r="M445" i="2" s="1"/>
  <c r="M43" i="2"/>
  <c r="M189" i="2"/>
  <c r="M649" i="2"/>
  <c r="M638" i="2" s="1"/>
  <c r="M637" i="2" s="1"/>
  <c r="E31" i="3" s="1"/>
  <c r="K629" i="2"/>
  <c r="E47" i="3"/>
  <c r="E74" i="3"/>
  <c r="E73" i="3" s="1"/>
  <c r="M607" i="2"/>
  <c r="M614" i="2"/>
  <c r="M613" i="2" s="1"/>
  <c r="M308" i="2"/>
  <c r="M307" i="2" s="1"/>
  <c r="M301" i="2" s="1"/>
  <c r="K281" i="2"/>
  <c r="K528" i="2"/>
  <c r="K527" i="2" s="1"/>
  <c r="M123" i="2"/>
  <c r="L301" i="2"/>
  <c r="M701" i="2"/>
  <c r="M700" i="2" s="1"/>
  <c r="K289" i="2"/>
  <c r="M630" i="2"/>
  <c r="M629" i="2" s="1"/>
  <c r="L501" i="2"/>
  <c r="K117" i="2"/>
  <c r="L599" i="2"/>
  <c r="M538" i="2"/>
  <c r="M537" i="2" s="1"/>
  <c r="M536" i="2" s="1"/>
  <c r="E70" i="3"/>
  <c r="E69" i="3" s="1"/>
  <c r="M501" i="2"/>
  <c r="M516" i="2" l="1"/>
  <c r="E40" i="3" s="1"/>
  <c r="E38" i="3" s="1"/>
  <c r="L149" i="2"/>
  <c r="L148" i="2" s="1"/>
  <c r="M42" i="2"/>
  <c r="M41" i="2" s="1"/>
  <c r="K516" i="2"/>
  <c r="K515" i="2" s="1"/>
  <c r="K598" i="2"/>
  <c r="M31" i="2"/>
  <c r="M30" i="2" s="1"/>
  <c r="M29" i="2" s="1"/>
  <c r="M325" i="2"/>
  <c r="M324" i="2" s="1"/>
  <c r="M323" i="2" s="1"/>
  <c r="M322" i="2" s="1"/>
  <c r="K42" i="2"/>
  <c r="K41" i="2" s="1"/>
  <c r="K13" i="2" s="1"/>
  <c r="E66" i="3"/>
  <c r="M580" i="2"/>
  <c r="K324" i="2"/>
  <c r="K323" i="2" s="1"/>
  <c r="K322" i="2" s="1"/>
  <c r="M483" i="2"/>
  <c r="M150" i="2"/>
  <c r="M149" i="2" s="1"/>
  <c r="M148" i="2" s="1"/>
  <c r="M147" i="2" s="1"/>
  <c r="K612" i="2"/>
  <c r="M599" i="2"/>
  <c r="K709" i="2"/>
  <c r="K708" i="2" s="1"/>
  <c r="E18" i="3"/>
  <c r="L147" i="2"/>
  <c r="O709" i="2"/>
  <c r="L13" i="2"/>
  <c r="K149" i="2"/>
  <c r="K148" i="2" s="1"/>
  <c r="K147" i="2" s="1"/>
  <c r="M709" i="2"/>
  <c r="M708" i="2" s="1"/>
  <c r="L324" i="2"/>
  <c r="L323" i="2" s="1"/>
  <c r="L322" i="2" s="1"/>
  <c r="E10" i="3"/>
  <c r="L439" i="2"/>
  <c r="E37" i="3"/>
  <c r="M118" i="2"/>
  <c r="M117" i="2" s="1"/>
  <c r="M668" i="2"/>
  <c r="E35" i="3"/>
  <c r="M612" i="2"/>
  <c r="M515" i="2" l="1"/>
  <c r="M439" i="2" s="1"/>
  <c r="M13" i="2"/>
  <c r="K439" i="2"/>
  <c r="K716" i="2" s="1"/>
  <c r="O708" i="2"/>
  <c r="O716" i="2"/>
  <c r="E27" i="3"/>
  <c r="E82" i="3" s="1"/>
  <c r="L716" i="2"/>
  <c r="M716" i="2" l="1"/>
</calcChain>
</file>

<file path=xl/sharedStrings.xml><?xml version="1.0" encoding="utf-8"?>
<sst xmlns="http://schemas.openxmlformats.org/spreadsheetml/2006/main" count="1336" uniqueCount="749">
  <si>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</si>
  <si>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</si>
  <si>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</si>
  <si>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</si>
  <si>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</si>
  <si>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</si>
  <si>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</si>
  <si>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</si>
  <si>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</si>
  <si>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</si>
  <si>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</si>
  <si>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</si>
  <si>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</si>
  <si>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</si>
  <si>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</si>
  <si>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</si>
  <si>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</si>
  <si>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</si>
  <si>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</si>
  <si>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</si>
  <si>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</si>
  <si>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</si>
  <si>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</si>
  <si>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</si>
  <si>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</si>
  <si>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</si>
  <si>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</si>
  <si>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</si>
  <si>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</si>
  <si>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</si>
  <si>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</si>
  <si>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</si>
  <si>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</si>
  <si>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</si>
  <si>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</si>
  <si>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</si>
  <si>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</si>
  <si>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</si>
  <si>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</si>
  <si>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</si>
  <si>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</si>
  <si>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</si>
  <si>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</si>
  <si>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</si>
  <si>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</si>
  <si>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</si>
  <si>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</si>
  <si>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</si>
  <si>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</si>
  <si>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</si>
  <si>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</si>
  <si>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</si>
  <si>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</si>
  <si>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</si>
  <si>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</si>
  <si>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</si>
  <si>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</si>
  <si>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</si>
  <si>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</si>
  <si>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</si>
  <si>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</si>
  <si>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</si>
  <si>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</si>
  <si>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</si>
  <si>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</si>
  <si>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</si>
  <si>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</si>
  <si>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</si>
  <si>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</si>
  <si>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</si>
  <si>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</si>
  <si>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</si>
  <si>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</si>
  <si>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</si>
  <si>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</si>
  <si>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</si>
  <si>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</si>
  <si>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</si>
  <si>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</si>
  <si>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</si>
  <si>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</si>
  <si>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</si>
  <si>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</si>
  <si>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</si>
  <si>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</si>
  <si>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</si>
  <si>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</si>
  <si>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</si>
  <si>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</si>
  <si>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</si>
  <si>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</si>
  <si>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</si>
  <si>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</si>
  <si>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</si>
  <si>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</si>
  <si>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</si>
  <si>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</si>
  <si>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</si>
  <si>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</si>
  <si>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</si>
  <si>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</si>
  <si>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</si>
  <si>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</si>
  <si>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</si>
  <si>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</si>
  <si>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</si>
  <si>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</si>
  <si>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</si>
  <si>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</si>
  <si>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</si>
  <si>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</si>
  <si>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</si>
  <si>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</si>
  <si>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</si>
  <si>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</si>
  <si>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</si>
  <si>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</si>
  <si>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</si>
  <si>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</si>
  <si>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</si>
  <si>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</si>
  <si>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</si>
  <si>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</si>
  <si>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</si>
  <si>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</si>
  <si>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</si>
  <si>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</si>
  <si>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</si>
  <si>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</si>
  <si>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</si>
  <si>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</si>
  <si>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</si>
  <si>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</si>
  <si>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</si>
  <si>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</si>
  <si>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</si>
  <si>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</si>
  <si>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</si>
  <si>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</si>
  <si>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</si>
  <si>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</si>
  <si>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</si>
  <si>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</si>
  <si>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</si>
  <si>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</si>
  <si>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</si>
  <si>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</si>
  <si>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</si>
  <si>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</si>
  <si>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</si>
  <si>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</si>
  <si>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</si>
  <si>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</si>
  <si>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</si>
  <si>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</si>
  <si>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</si>
  <si>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</si>
  <si>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</si>
  <si>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</si>
  <si>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</si>
  <si>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</si>
  <si>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</si>
  <si>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</si>
  <si>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</si>
  <si>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</si>
  <si>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</si>
  <si>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</si>
  <si>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</si>
  <si>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</si>
  <si>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</si>
  <si>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</si>
  <si>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</si>
  <si>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</si>
  <si>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</si>
  <si>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</si>
  <si>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</si>
  <si>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</si>
  <si>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</si>
  <si>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</si>
  <si>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</si>
  <si>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</si>
  <si>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</si>
  <si>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</si>
  <si>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</si>
  <si>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</si>
  <si>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</si>
  <si>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</si>
  <si>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</si>
  <si>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</si>
  <si>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</si>
  <si>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</si>
  <si>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</si>
  <si>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</si>
  <si>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</si>
  <si>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</si>
  <si>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</si>
  <si>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</si>
  <si>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</si>
  <si>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</si>
  <si>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</si>
  <si>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</si>
  <si>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</si>
  <si>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</si>
  <si>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</si>
  <si>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</si>
  <si>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</si>
  <si>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</si>
  <si>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</si>
  <si>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</si>
  <si>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</si>
  <si>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</si>
  <si>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</si>
  <si>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</si>
  <si>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</si>
  <si>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</si>
  <si>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</si>
  <si>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</si>
  <si>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</si>
  <si>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</si>
  <si>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</si>
  <si>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</si>
  <si>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</si>
  <si>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</si>
  <si>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</si>
  <si>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</si>
  <si>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</si>
  <si>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</si>
  <si>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</si>
  <si>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</si>
  <si>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</si>
  <si>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</si>
  <si>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</si>
  <si>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</si>
  <si>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</si>
  <si>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</si>
  <si>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</si>
  <si>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</si>
  <si>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</si>
  <si>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</si>
  <si>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</si>
  <si>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</si>
  <si>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</si>
  <si>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</si>
  <si>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</si>
  <si>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</si>
  <si>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</si>
  <si>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</si>
  <si>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</si>
  <si>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</si>
  <si>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</si>
  <si>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</si>
  <si>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</si>
  <si>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</si>
  <si>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</si>
  <si>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</si>
  <si>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</si>
  <si>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</si>
  <si>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</si>
  <si>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</si>
  <si>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</si>
  <si>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</si>
  <si>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</si>
  <si>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</si>
  <si>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</si>
  <si>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</si>
  <si>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</si>
  <si>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</si>
  <si>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</si>
  <si>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</si>
  <si>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</si>
  <si>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</si>
  <si>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</si>
  <si>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</si>
  <si>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</si>
  <si>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</si>
  <si>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</si>
  <si>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</si>
  <si>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</si>
  <si>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</si>
  <si>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</si>
  <si>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</si>
  <si>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</si>
  <si>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</si>
  <si>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</si>
  <si>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</si>
  <si>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</si>
  <si>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</si>
  <si>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</si>
  <si>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</si>
  <si>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</si>
  <si>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</si>
  <si>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</si>
  <si>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</si>
  <si>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</si>
  <si>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</si>
  <si>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</si>
  <si>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</si>
  <si>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</si>
  <si>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</si>
  <si>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</si>
  <si>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</si>
  <si>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</si>
  <si>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</si>
  <si>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</si>
  <si>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</si>
  <si>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</si>
  <si>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</si>
  <si>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</si>
  <si>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</si>
  <si>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</si>
  <si>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</si>
  <si>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</si>
  <si>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</si>
  <si>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</si>
  <si>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</si>
  <si>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</si>
  <si>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</si>
  <si>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</si>
  <si>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</si>
  <si>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</si>
  <si>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</si>
  <si>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</si>
  <si>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</si>
  <si>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</si>
  <si>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</si>
  <si>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</si>
  <si>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</si>
  <si>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</si>
  <si>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</si>
  <si>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</si>
  <si>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</si>
  <si>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</si>
  <si>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</si>
  <si>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</si>
  <si>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</si>
  <si>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</si>
  <si>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</si>
  <si>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</si>
  <si>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</si>
  <si>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</si>
  <si>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</si>
  <si>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</si>
  <si>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</si>
  <si>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</si>
  <si>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</si>
  <si>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02.1.01.70510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</si>
  <si>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</si>
  <si>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</si>
  <si>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</si>
  <si>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</si>
  <si>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</si>
  <si>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</si>
  <si>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</si>
  <si>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</si>
  <si>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</si>
  <si>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</si>
  <si>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</si>
  <si>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</si>
  <si>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</si>
  <si>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</si>
  <si>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</si>
  <si>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</si>
  <si>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</si>
  <si>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</si>
  <si>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</si>
  <si>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</si>
  <si>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</si>
  <si>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06.1.01.75160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</si>
  <si>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</si>
  <si>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</si>
  <si>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</si>
  <si>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</si>
  <si>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03.1.03.70850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</si>
  <si>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</si>
  <si>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</si>
  <si>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</si>
  <si>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</si>
  <si>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</si>
  <si>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</si>
  <si>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</si>
  <si>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</si>
  <si>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</si>
  <si>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</si>
  <si>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</si>
  <si>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</si>
  <si>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</si>
  <si>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</si>
  <si>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</si>
  <si>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</si>
  <si>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</si>
  <si>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</si>
  <si>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</si>
  <si>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</si>
  <si>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</si>
  <si>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</si>
  <si>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</si>
  <si>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</si>
  <si>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</si>
  <si>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</si>
  <si>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</si>
  <si>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</si>
  <si>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</si>
  <si>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</si>
  <si>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</si>
  <si>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</si>
  <si>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</si>
  <si>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</si>
  <si>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</si>
  <si>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</si>
  <si>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</si>
  <si>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</si>
  <si>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</si>
  <si>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</si>
  <si>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</si>
  <si>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</si>
  <si>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</si>
  <si>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</si>
  <si>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</si>
  <si>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</si>
  <si>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и содержание безнадзорных животных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</si>
  <si>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</si>
  <si>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</si>
  <si>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</si>
  <si>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</si>
  <si>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</si>
  <si>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</si>
  <si>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</si>
  <si>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</si>
  <si>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11.1.01.75900</t>
  </si>
  <si>
    <t>Расходы на повышение оплаты труда работников муниципальных учреждений в сфере культуры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</si>
  <si>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</si>
  <si>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</si>
  <si>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2019-2021 годы"</t>
  </si>
  <si>
    <t>Подпрограмма "Поддержка социально ориентированных некоммерческих организаций Первомайского муниципального района на  2019-2021 годы"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</si>
  <si>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</si>
  <si>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</si>
  <si>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</si>
  <si>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22.0.00.00000</t>
  </si>
  <si>
    <t>22.1.00.00000</t>
  </si>
  <si>
    <t>22.1.01.00000</t>
  </si>
  <si>
    <t>22.1.01.61770</t>
  </si>
  <si>
    <t>05.0.00.00000</t>
  </si>
  <si>
    <t>05.1.00.00000</t>
  </si>
  <si>
    <t>05.1.01.00000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</si>
  <si>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</si>
  <si>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</si>
  <si>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</si>
  <si>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</si>
  <si>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Обеспечение территориальной доступности товаров для сельского населения путем оказания муниципальной поддержки</t>
  </si>
  <si>
    <t>30.1.01.61970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</si>
  <si>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</si>
  <si>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</si>
  <si>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</si>
  <si>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</si>
  <si>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</si>
  <si>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</si>
  <si>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</si>
  <si>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</si>
  <si>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</si>
  <si>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>24.1.01.61860</t>
  </si>
  <si>
    <t>Межбюджетные трансферты, передаваемые бюджетам поселений на содержание дорог по соглашению</t>
  </si>
  <si>
    <t>2019 год вносимые изменения (руб.)</t>
  </si>
  <si>
    <t>2019 год                    Итого (руб.)</t>
  </si>
  <si>
    <t>03.1.P1.50840</t>
  </si>
  <si>
    <t>03.1.P1.55730</t>
  </si>
  <si>
    <t>03.1.P3.52930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</si>
  <si>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 и социальная поддержка граждан Первомайского муниципального района</t>
  </si>
  <si>
    <t>Усиление мер государственной поддержки семей в связи с рождением и воспитанием детей</t>
  </si>
  <si>
    <t>Реализация федерального проекта "Старшее поколение" и национального проекта "Демография"</t>
  </si>
  <si>
    <t>03.1.P3.00000</t>
  </si>
  <si>
    <t>03.1.P.1.00000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</si>
  <si>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</si>
  <si>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06.1.01.61000</t>
  </si>
  <si>
    <t>Расходы на финансирование дорожного хозяйства за счет субсидии из областного бюджета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</si>
  <si>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</si>
  <si>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средств местного бюджета</t>
  </si>
  <si>
    <t>12.1.02.66150</t>
  </si>
  <si>
    <t>12.1.02.00000</t>
  </si>
  <si>
    <t>Расходы на финансирование дорожного хозяйства за счет средств бюджета района в рамках софинансирования</t>
  </si>
  <si>
    <t>24.1.01.62440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</si>
  <si>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</si>
  <si>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</si>
  <si>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Реализация мероприятий по патриотическому воспитанию граждан за счет субсидии из областного бюджета</t>
  </si>
  <si>
    <t>09.1.01.74880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</si>
  <si>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</si>
  <si>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12.1.02.76150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</si>
  <si>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</si>
  <si>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</si>
  <si>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</si>
  <si>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</si>
  <si>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</si>
  <si>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05.1.02.00000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</si>
  <si>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</si>
  <si>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</si>
  <si>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</si>
  <si>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Назначение и осуществление ежемесячной выплаты в связи с рождением (усыновлением) первого ребенка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</si>
  <si>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</si>
  <si>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11.1.01.L5191</t>
  </si>
  <si>
    <t>11.1.01.L5193</t>
  </si>
  <si>
    <t>Расходы на комплектование книжных фондов муниципальных библиотек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</si>
  <si>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</si>
  <si>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18.0.00.00000</t>
  </si>
  <si>
    <t>18.1.00.00000</t>
  </si>
  <si>
    <t>18.1.01.00000</t>
  </si>
  <si>
    <t>18.1.01.75260</t>
  </si>
  <si>
    <t>03.3.00.00000</t>
  </si>
  <si>
    <t>03.3.01.00000</t>
  </si>
  <si>
    <t>03.3.01.60650</t>
  </si>
  <si>
    <t>Содействие организации безопасных условий трудовой деятельности и охраны труда, развитию социального партнерства</t>
  </si>
  <si>
    <t>Реализация мероприятий по строительству объектов газификации в рамках софинансирования</t>
  </si>
  <si>
    <t>18.1.01.65260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</si>
  <si>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</si>
  <si>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</si>
  <si>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</si>
  <si>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</si>
  <si>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</si>
  <si>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</si>
  <si>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Реализация мероприятий муниципальной  программы "Поддержка потребительского рынка на селе" на 2020-2022 годы</t>
  </si>
  <si>
    <t xml:space="preserve">Обеспечение деятельности  учреждений, подведомственных учредителю в сфере дополнительного образования </t>
  </si>
  <si>
    <t xml:space="preserve">Обеспечение деятельности  учреждений, подведомственных учредителю в сфере общего образования </t>
  </si>
  <si>
    <t>02.1.Е1.71960</t>
  </si>
  <si>
    <t>02.1.Е1.61960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</si>
  <si>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</si>
  <si>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Мероприятия по развитию системы оповещения и информирования населения в целях защиты от чрезвычайных ситуаций</t>
  </si>
  <si>
    <t>10.1.06.00000</t>
  </si>
  <si>
    <t>10.1.06.60960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</si>
  <si>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</si>
  <si>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</si>
  <si>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</si>
  <si>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02.1.Е1.00000</t>
  </si>
  <si>
    <t>12.1.02.76950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</si>
  <si>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2021-2023 годы</t>
  </si>
  <si>
    <t>Дотации поселениям  муниципального района на выравнивание бюджетной обеспеченности за счет средств бюджета района</t>
  </si>
  <si>
    <t>Подпрограмма "Развитие массового спорта и материально-технической базы в Первомайском муниципальном районе на 2021-2023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</si>
  <si>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2021-2023 годы"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</si>
  <si>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</si>
  <si>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</si>
  <si>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</si>
  <si>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03.1.01.53800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</si>
  <si>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</si>
  <si>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</si>
  <si>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</si>
  <si>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</si>
  <si>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</si>
  <si>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</si>
  <si>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</si>
  <si>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</si>
  <si>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08.4.00.00000</t>
  </si>
  <si>
    <t>08.4.01.00000</t>
  </si>
  <si>
    <t>50.0.00.54690</t>
  </si>
  <si>
    <t>Расходы по подготовке и проведению Всероссийской переписи населения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</si>
  <si>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</si>
  <si>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</si>
  <si>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</si>
  <si>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</si>
  <si>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</si>
  <si>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</si>
  <si>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</si>
  <si>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</si>
  <si>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Отдел труда и социальной поддержки населения администрации Первомайского муниципального района Ярославской области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</si>
  <si>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</si>
  <si>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</si>
  <si>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</si>
  <si>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</si>
  <si>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02.1.Е1.71690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</si>
  <si>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</si>
  <si>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</si>
  <si>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</si>
  <si>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</si>
  <si>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2021 год (руб.) решение о бюджете</t>
  </si>
  <si>
    <t>2021 год (руб.) вносимые изменения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</si>
  <si>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</si>
  <si>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</si>
  <si>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</si>
  <si>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13.1.01.65870</t>
  </si>
  <si>
    <t>Вид расхо дов</t>
  </si>
  <si>
    <t>Изменения</t>
  </si>
  <si>
    <t>2021 год (руб.)  итого</t>
  </si>
  <si>
    <t>Развитие материально-технической базы библиотек Первомайского муниципального района</t>
  </si>
  <si>
    <t xml:space="preserve">Мероприятия по развитию материально-технической базы библиотек </t>
  </si>
  <si>
    <t>11.2.01.0000</t>
  </si>
  <si>
    <t>11.2.01.60070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</si>
  <si>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сельских поселений</t>
  </si>
  <si>
    <t>17.1.01.62880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</si>
  <si>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</si>
  <si>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</si>
  <si>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</si>
  <si>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</si>
  <si>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</si>
  <si>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</si>
  <si>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</si>
  <si>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</si>
  <si>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18.1.02.62440</t>
  </si>
  <si>
    <t>Реализация мероприятий по модернизации объектов теплоснабжения</t>
  </si>
  <si>
    <t>21.1.01.65120</t>
  </si>
  <si>
    <t>Муниципальная программа  "Развитие дорожного хозяйства и транспорта в Первомайском муниципальном районе на 2022-2024 годы"</t>
  </si>
  <si>
    <t>Подпрограмма "Развитие сети автомобильных дорог общего пользования местного значения Первомайского муниципального района на 2022-2024 годы"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</si>
  <si>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</si>
  <si>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</si>
  <si>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Муниципальная программа "Развитие культуры в Первомайском муниципальном районе на  2022-2024 годы"</t>
  </si>
  <si>
    <t>Подрограмма "Развитие библиотечного обслуживания населения и материально-технической базы библиотек на 2022-2024 годы"</t>
  </si>
  <si>
    <t>Подпрограмма "Развитие массового спорта и материально-технической базы в Первомайском муниципальном районе на 2022-2024 годы"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</si>
  <si>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</si>
  <si>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02.1.E2.00000</t>
  </si>
  <si>
    <t>02.1.E2.50970</t>
  </si>
  <si>
    <t>Реализация мероприятий регионального проекта "Успех каждого ребенка"</t>
  </si>
  <si>
    <t>Комплектование книжных фондов муниципальных библиотек</t>
  </si>
  <si>
    <t>11.1.А1.00000</t>
  </si>
  <si>
    <t>11.1.А1.55198</t>
  </si>
  <si>
    <t>Участие в региональном проекте "Культурная среда"</t>
  </si>
  <si>
    <t>02.1.E2.60970</t>
  </si>
  <si>
    <t>02.1.04.00000</t>
  </si>
  <si>
    <t>02.1.04.75350</t>
  </si>
  <si>
    <t>Софинансирование расходов на создание в общеобразовательных организациях условий для занятий физической культурой и спортом</t>
  </si>
  <si>
    <t>Расходы на создание в общеобразовательных организациях условий для занятий физической культурой и спортом</t>
  </si>
  <si>
    <t>Расходы за счет межбюджетных трансфертов на поддержку инициатив органов ученического самоуправления общеобразовательных организаций</t>
  </si>
  <si>
    <t>Участие в областной  подпрограмме "Развитие инициативного бюджетирования на территории Ярославской области"</t>
  </si>
  <si>
    <t>Расходы за счет субсидии на модернизацию муниципальных детских школ искусств по видам искусств</t>
  </si>
  <si>
    <t>02.1.E1.00000</t>
  </si>
  <si>
    <t>02.1.Е1.61690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</si>
  <si>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</si>
  <si>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08.2.01.60710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</si>
  <si>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</si>
  <si>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Повышение финансовых возможностей муниципальных образований Первомайского муниципального района</t>
  </si>
  <si>
    <t>36.2.00.00000</t>
  </si>
  <si>
    <t>36.2.01.00000</t>
  </si>
  <si>
    <t>36.2.01.62120</t>
  </si>
  <si>
    <t>Организационно-техническое и нормативно-методическое обеспечение бюджетного процесса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</si>
  <si>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</si>
  <si>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</si>
  <si>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08.3.02.00000</t>
  </si>
  <si>
    <t>08.3.02.60730</t>
  </si>
  <si>
    <t>08.4.01.60740</t>
  </si>
  <si>
    <t>Создание условий для обеспечения противодействия коррупции на территории Первомайского муниципального района</t>
  </si>
  <si>
    <t>Профилактика терроризмана территории Первомайского муниципального района</t>
  </si>
  <si>
    <t>13.1.01.61460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</si>
  <si>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</si>
  <si>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Поддержка сельскохозяйственного производства в части организационных мероприятий</t>
  </si>
  <si>
    <t>Создание  благоприятных условий для проживания граждан</t>
  </si>
  <si>
    <t xml:space="preserve">Межбюджетные трансферты, передаваемые бюджетам поселений на содержание дорог по соглашению  
</t>
  </si>
  <si>
    <t>11.1.А2.55193</t>
  </si>
  <si>
    <t>11.1.А2.00000</t>
  </si>
  <si>
    <t>18.1.03.70620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</si>
  <si>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</si>
  <si>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</si>
  <si>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18.1.03.00000</t>
  </si>
  <si>
    <t>Проведение комплекса кадастровых работ на объектах газораспределения</t>
  </si>
  <si>
    <t>Расходы на проведение комплекса кадастровых работ на объектах газораспределения</t>
  </si>
  <si>
    <t>11.1.01.70760</t>
  </si>
  <si>
    <t>Расходы на организацию и проведение культурных мероприятий, направленных на улучшение социального самочувствия жителей муниципального района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</si>
  <si>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поселений</t>
  </si>
  <si>
    <t>Подпрограмма "Общепрограммные расходы муниципальной программы "Поддержка потребительского рынка на селе" на 2022-2024 годы"</t>
  </si>
  <si>
    <t>Муниципальная программа "Поддержка потребительского рынка на селе" на 2022-2024 годы</t>
  </si>
  <si>
    <t>Расходы на улучшение значений показателей по отдельным направлениям развития муниципального района</t>
  </si>
  <si>
    <t>Развитие материально-технической базы общеобразовательных организаций для организации питания обучающихся в рамках софинансирования</t>
  </si>
  <si>
    <t>Развитие материально-технической базы общеобразовательных организаций для организации питания обучающихся за счет субсидии из областного бюджета</t>
  </si>
  <si>
    <t>02.1.01.60370</t>
  </si>
  <si>
    <t>02.1.01.70370</t>
  </si>
  <si>
    <t>Мероприятия по обеспечению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</si>
  <si>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02.1.02.71100</t>
  </si>
  <si>
    <t>Государственная поддержка отдельных категорий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</si>
  <si>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03.1.01.75880</t>
  </si>
  <si>
    <t>11.1.01.61080</t>
  </si>
  <si>
    <t>Проведение мероприятий в рамках празднования Года культурного наследия народов России</t>
  </si>
  <si>
    <t>21.1.01.55490</t>
  </si>
  <si>
    <t>Поощрение муниципальных управленческих команд за достижение показателей деятельности</t>
  </si>
  <si>
    <t>Ведомственная структура расходов бюджета Первомайского муниципального района                                                                                      на 2023 год</t>
  </si>
  <si>
    <t xml:space="preserve">2023 год (руб.) </t>
  </si>
  <si>
    <t>Мероприятия по реализации  подпрограммы «Улучшение условий и охраны труда  по Первомайскому муниципальному району» на 2023-2025 годы</t>
  </si>
  <si>
    <t>Подпрограмма «Улучшение условий и охраны труда  по Первомайскому муниципальному району» на 2023-2025 годы</t>
  </si>
  <si>
    <t>Муниципальная программа «Семья и дети» на 2022-2024 годы</t>
  </si>
  <si>
    <t>Подпрограмма «Общепрограммные расходы муниципальной программы «Семья и дети» на 2022-2024 годы»</t>
  </si>
  <si>
    <t>Реализация мероприятий подпрограммы «Общепрограммные расходы муниципальной программы «Семья и дети» на 2022-2024 годы»</t>
  </si>
  <si>
    <t xml:space="preserve">Муниципальная программа  «Обеспечение общественного порядка и противодействие
преступности на территории Первомайского муниципального района» на 2021-2023 годы
</t>
  </si>
  <si>
    <t>Подпрограмма «Профилактика безнадзорности, правонарушений и защита прав несовершеннолетних Первомайского муниципального района» на 2021-2023 годы</t>
  </si>
  <si>
    <t>Реализация мероприятий подпрограммы «Профилактика безнадзорности, правонарушений и защита прав несовершеннолетних Первомайского муниципального района» на 2021-2023 годы</t>
  </si>
  <si>
    <t>Муниципальная программа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</si>
  <si>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Подпрограмма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</si>
  <si>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Реализация мероприятий подпрограммы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</si>
  <si>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Муниципальная программа «Развитие культуры  в Первомайском муниципальном районе» на 2022-2025 годы</t>
  </si>
  <si>
    <t>Подпрограмма «Ведомственная целевая программа «Развитие культуры в Первомайском муниципальном районе»»на 2022-2025 годы</t>
  </si>
  <si>
    <t>Муниципальная программа «Молодёжь» на 2022-2024 годы</t>
  </si>
  <si>
    <t>Подпрограмма «Общепрограммные расходы муниципальной программы «Молодёжь» на 2022-2024 годы»</t>
  </si>
  <si>
    <t>Реализация мероприятий подпрограммы «Общепрограммные расходы муниципальной программы «Молодёжь» на 2022-2024 годы»</t>
  </si>
  <si>
    <t>Муниципальная программа «Развитие образования в Первомайском муниципальном районе» на 2023-2025 годы</t>
  </si>
  <si>
    <t>Подпрограмма «Общепрограммные расходы муниципальной программы «Развитие образования в Первомайском муниципальном районе» на 2023-2025 годы»</t>
  </si>
  <si>
    <t>Муниципальная  программа «Комплексные меры по организации отдыха и оздоровления детей Первомайского района на 2023-2025 годы»</t>
  </si>
  <si>
    <t>Подпрограмма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</si>
  <si>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Мероприятия  по реализации подпрограммы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</si>
  <si>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Муниципальная программа  «Создание условий для эффективного управления муниципальными финансами в Первомайском муниципальном районе» на 2023-2025 годы</t>
  </si>
  <si>
    <t>Подпрограмма «Выравнивание уровня бюджетной обеспеченности поселений Первомайского муниципального района» на 2023-2025 годы</t>
  </si>
  <si>
    <t>Подпрограмма «Повышение эффективности управления муниципальными финансами Первомайского муниципального района» на 2023-2025 годы</t>
  </si>
  <si>
    <t>Муниципальная программа  «Социальная поддержка населения Первомайского муниципального района» на 2023-2025 годы</t>
  </si>
  <si>
    <t>Подпрограмма «Ведомственная целевая программа отдела труда и социальной поддержки населения администрации Первомайского муниципального района» на 2023-2025 годы</t>
  </si>
  <si>
    <t>Муниципальная программа  «Развитие дорожного хозяйства и транспорта в Первомайском муниципальном районе» на 2023-2025 годы</t>
  </si>
  <si>
    <t>Подпрограмма «Транспортное обслуживание населения Первомайского муниципального района на 2023-2025 годы»</t>
  </si>
  <si>
    <t>Подпрограмма «Поддержка социально ориентированных не коммерческих организаций Первомайского муниципального района» на 2023-2025 годы</t>
  </si>
  <si>
    <t>Реализация мероприятий подпрограммы «Поддержка социально ориентированных не коммерческих организаций Первомайского муниципального района» на 2023-2025 годы</t>
  </si>
  <si>
    <t xml:space="preserve">Муниципальная программа «Разработка и актуализация градостроительной документации 
Первомайского района Ярославской области» на 2021-2024 годы
</t>
  </si>
  <si>
    <t xml:space="preserve">Подпрограмма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</si>
  <si>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 xml:space="preserve">Мероприятия  по реализации Подпрограммы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</si>
  <si>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>Подпрограмма «Профилактика правонарушений на территории Первомайского муниципального района» на 2021-2023 годы</t>
  </si>
  <si>
    <t>Подпрограмма «Профилактика терроризма и экстремизма на территории Первомайского муниципального района» на 2021-2023 годы</t>
  </si>
  <si>
    <t>Подпрограмма «Противодействие коррупции в Первомайском муниципальном районе» на 2021-2023 годы</t>
  </si>
  <si>
    <t>Муниципальная программа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</t>
  </si>
  <si>
    <t>Подпрограмма «Общепрограммные расходы муниципальной программы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годы»</t>
  </si>
  <si>
    <t>Подрограмма «Развитие библиотечного обслуживания населения и материально-технической базы библиотек» на 2022-2025 годы</t>
  </si>
  <si>
    <t>Муниципальная программа «Развитие физической культуры и спорта в Первомайском муниципальном районе» на 2023-2025 годы</t>
  </si>
  <si>
    <t>Подпрограмма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</si>
  <si>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Реализация мероприятий Подпрограммы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</si>
  <si>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Муниципальная программа  «Развитие субъектов малого и среднего предпринимательства Первомайского муниципального района» на 2022-2024 годы</t>
  </si>
  <si>
    <t xml:space="preserve">Подпрограмма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</si>
  <si>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 xml:space="preserve">Реализация мероприятий подпрограммы 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</si>
  <si>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>Муниципальная программа «Газификация и модернизация жилищно-коммунального хозяйства Первомайского муниципального района» на 2018-2024 годы</t>
  </si>
  <si>
    <t>Подпрограмма «Общепрограммные расходы муниципальной программы «Газификация и модернизация жилищно-коммунального хозяйства Первомайского муниципального района» на 2018-2024 годы»</t>
  </si>
  <si>
    <t>Муниципальная программа «Эффективная власть в Первомайском муниципальном районе» на 2023-2025 годы</t>
  </si>
  <si>
    <t xml:space="preserve"> Подпрограмма «Развитие муниципальной службы в Первомайском муниципальном районе» на 2023-2025 годы</t>
  </si>
  <si>
    <t>Реализация мероприятий Подпрограммы «Развитие муниципальной службы в Первомайском муниципальном районе» на 2023-2025 годы</t>
  </si>
  <si>
    <t>Подпрограмма 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</si>
  <si>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Реализация мероприятий Подпрограммы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</si>
  <si>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Муниципальная программа «Повышение эффективности использования муниципального имущества Первомайского муниципального района» на 2022-2024 годы</t>
  </si>
  <si>
    <t>Подпрограмма «Общепрограммные расходы муниципальной программы «Повышение эффективности использования муниципального имущества Первомайского муниципального района» на 2022-2024 годы»</t>
  </si>
  <si>
    <t>Муниципальная программа  «Информационное общество в Первомайском муниципальном районе» на 2022-2024 годы</t>
  </si>
  <si>
    <t>Подпрограмма  «Информационная среда» на 2022-2024 годы</t>
  </si>
  <si>
    <t>Реализация мероприятий подпрограммы «Информационная среда» на 2022-2024 годы</t>
  </si>
  <si>
    <t>Подпрограмма «Развитие сети автомобильных дорог общего пользования местного значения Первомайского муниципального района» на 2023-2025 годы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</si>
  <si>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района» на 2023-2025 годы</t>
  </si>
  <si>
    <t>Муниципальная программа «Развитие сельского хозяйства в Первомайском муниципальном районе» в 2022-2024 годах</t>
  </si>
  <si>
    <t>Подпрограмма «Общепрограммные расходы муниципальной программы «Развитие сельского хозяйства в Первомайском муниципальном районе» в 2022-2024 годах</t>
  </si>
  <si>
    <t>Муниципальная программа «Энергосбережение и повышение энергоэффективности в Первомайском муниципальном районе» на 2023 -2025 годы</t>
  </si>
  <si>
    <t>Подпрграмма «Общепрограммные расходы муниципальной программы «Энергосбережение и повышение энергоэффективности в Первомайском муниципальном районе» на 2023 -2025 годы»</t>
  </si>
  <si>
    <t>02.1.01.71460</t>
  </si>
  <si>
    <t xml:space="preserve"> Организация образовательного процесса</t>
  </si>
  <si>
    <t xml:space="preserve">Реализация мероприятий по развитию сельскохозяйственного производства </t>
  </si>
  <si>
    <t>Содержание контрольно-счетной палаты муниципального района</t>
  </si>
  <si>
    <t>Руководитель контрольно-счетной палаты муниципального района</t>
  </si>
  <si>
    <t>25.1.03.00000</t>
  </si>
  <si>
    <t>25.1.03.L5990</t>
  </si>
  <si>
    <t>Мероприятия, направленные на подготовку проектов межевания земельных участков и на проведение кадастровых работ</t>
  </si>
  <si>
    <t>Привлечение инвесторов для развития сельскохозяйственной отрасли муниципального района</t>
  </si>
  <si>
    <t>Расходы на обеспечение государственных полномочий по организации деятельности территориальных комиссий по делам несовершеннолетних и защите их прав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</si>
  <si>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в рамках софинансирования</t>
  </si>
  <si>
    <t>24.1.01.67350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</si>
  <si>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за счет субсидии из областного бюджета</t>
  </si>
  <si>
    <t>24.1.01.77350</t>
  </si>
  <si>
    <t>Модернизация объектов теплоснабжения (перевод котельных на газовое топливо)(строительство, реконструкция котельных с вводом их в эксплуатацию)</t>
  </si>
  <si>
    <t xml:space="preserve">к решению Собрания Представителей                                           Первомайского муниципального района                                 от 18.05.2023 года  №
</t>
  </si>
  <si>
    <t>Приложение 3</t>
  </si>
  <si>
    <t xml:space="preserve">"Приложение 5 к решению Собрания  Представителей Первомайского муниципального района                                                                 от 22.12.2022 года № 172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18.05.2023 года № )"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</si>
</sst>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49" fontId="9" fillId="0" borderId="0" xfId="1" applyNumberFormat="1" applyFont="1" applyFill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9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6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3" fillId="4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6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ont="1" applyFill="1"/>
    <xf numFmtId="0" fontId="3" fillId="4" borderId="3" xfId="1" applyNumberFormat="1" applyFont="1" applyFill="1" applyBorder="1" applyAlignment="1" applyProtection="1">
      <alignment horizontal="center" vertical="center"/>
      <protection hidden="1"/>
    </xf>
    <xf numFmtId="0" fontId="3" fillId="4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7" xfId="1" applyNumberFormat="1" applyFont="1" applyFill="1" applyBorder="1" applyAlignment="1" applyProtection="1">
      <alignment horizontal="center" vertical="top"/>
      <protection hidden="1"/>
    </xf>
    <xf numFmtId="3" fontId="2" fillId="3" borderId="7" xfId="1" applyNumberFormat="1" applyFont="1" applyFill="1" applyBorder="1" applyAlignment="1" applyProtection="1">
      <alignment horizontal="right" vertical="top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1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Protection="1">
      <protection hidden="1"/>
    </xf>
    <xf numFmtId="0" fontId="3" fillId="0" borderId="6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2" xfId="1" applyFont="1" applyFill="1" applyBorder="1" applyProtection="1"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" fillId="5" borderId="0" xfId="1" applyFont="1" applyFill="1"/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3" fillId="7" borderId="5" xfId="1" applyNumberFormat="1" applyFont="1" applyFill="1" applyBorder="1" applyAlignment="1" applyProtection="1">
      <alignment horizontal="center" vertical="center"/>
      <protection hidden="1"/>
    </xf>
    <xf numFmtId="0" fontId="3" fillId="7" borderId="6" xfId="1" applyNumberFormat="1" applyFont="1" applyFill="1" applyBorder="1" applyAlignment="1" applyProtection="1">
      <alignment horizontal="center" vertical="center"/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3" fillId="8" borderId="5" xfId="1" applyNumberFormat="1" applyFont="1" applyFill="1" applyBorder="1" applyAlignment="1" applyProtection="1">
      <alignment horizontal="center" vertical="center"/>
      <protection hidden="1"/>
    </xf>
    <xf numFmtId="0" fontId="3" fillId="8" borderId="6" xfId="1" applyNumberFormat="1" applyFont="1" applyFill="1" applyBorder="1" applyAlignment="1" applyProtection="1">
      <alignment horizontal="center" vertical="center"/>
      <protection hidden="1"/>
    </xf>
    <xf numFmtId="0" fontId="1" fillId="8" borderId="0" xfId="1" applyFont="1" applyFill="1"/>
    <xf numFmtId="0" fontId="3" fillId="9" borderId="2" xfId="1" applyFont="1" applyFill="1" applyBorder="1" applyProtection="1">
      <protection hidden="1"/>
    </xf>
    <xf numFmtId="0" fontId="4" fillId="9" borderId="3" xfId="1" applyNumberFormat="1" applyFont="1" applyFill="1" applyBorder="1" applyAlignment="1" applyProtection="1">
      <alignment horizontal="center" vertical="center"/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1" fillId="9" borderId="0" xfId="1" applyFont="1" applyFill="1"/>
    <xf numFmtId="3" fontId="1" fillId="3" borderId="0" xfId="1" applyNumberFormat="1" applyFont="1" applyFill="1"/>
    <xf numFmtId="0" fontId="2" fillId="3" borderId="1" xfId="1" applyNumberFormat="1" applyFont="1" applyFill="1" applyBorder="1" applyAlignment="1" applyProtection="1">
      <alignment horizontal="left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0" fontId="6" fillId="3" borderId="0" xfId="0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0" fontId="12" fillId="3" borderId="3" xfId="0" applyFont="1" applyFill="1" applyBorder="1" applyAlignment="1">
      <alignment vertical="top" wrapText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3" fillId="3" borderId="8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9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left" vertical="top" wrapText="1"/>
      <protection hidden="1"/>
    </xf>
    <xf numFmtId="164" fontId="3" fillId="3" borderId="7" xfId="1" applyNumberFormat="1" applyFont="1" applyFill="1" applyBorder="1" applyAlignment="1" applyProtection="1">
      <alignment horizontal="center" vertical="top"/>
      <protection hidden="1"/>
    </xf>
    <xf numFmtId="3" fontId="3" fillId="3" borderId="7" xfId="1" applyNumberFormat="1" applyFont="1" applyFill="1" applyBorder="1" applyAlignment="1" applyProtection="1">
      <alignment horizontal="right" vertical="top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164" fontId="3" fillId="3" borderId="3" xfId="1" applyNumberFormat="1" applyFont="1" applyFill="1" applyBorder="1" applyAlignment="1" applyProtection="1">
      <alignment horizontal="center" vertical="top"/>
      <protection hidden="1"/>
    </xf>
    <xf numFmtId="3" fontId="3" fillId="3" borderId="3" xfId="1" applyNumberFormat="1" applyFont="1" applyFill="1" applyBorder="1" applyAlignment="1" applyProtection="1">
      <alignment horizontal="right" vertical="top"/>
      <protection hidden="1"/>
    </xf>
    <xf numFmtId="0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3" fontId="3" fillId="3" borderId="5" xfId="1" applyNumberFormat="1" applyFont="1" applyFill="1" applyBorder="1" applyAlignment="1" applyProtection="1">
      <alignment horizontal="right" vertical="top"/>
      <protection hidden="1"/>
    </xf>
    <xf numFmtId="0" fontId="1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3" fontId="2" fillId="3" borderId="1" xfId="1" applyNumberFormat="1" applyFont="1" applyFill="1" applyBorder="1" applyAlignment="1" applyProtection="1">
      <protection hidden="1"/>
    </xf>
    <xf numFmtId="0" fontId="11" fillId="3" borderId="0" xfId="0" applyFont="1" applyFill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15" fillId="0" borderId="9" xfId="0" applyFont="1" applyBorder="1" applyAlignment="1">
      <alignment vertical="top" wrapText="1"/>
    </xf>
    <xf numFmtId="0" fontId="4" fillId="3" borderId="2" xfId="1" applyNumberFormat="1" applyFont="1" applyFill="1" applyBorder="1" applyAlignment="1" applyProtection="1">
      <alignment horizontal="left" vertical="top" wrapText="1"/>
      <protection hidden="1"/>
    </xf>
    <xf numFmtId="0" fontId="16" fillId="3" borderId="0" xfId="0" applyFont="1" applyFill="1" applyAlignment="1">
      <alignment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4" fillId="3" borderId="1" xfId="1" applyNumberFormat="1" applyFont="1" applyFill="1" applyBorder="1" applyAlignment="1" applyProtection="1">
      <alignment horizontal="right" vertical="top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Protection="1"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14" fontId="6" fillId="3" borderId="3" xfId="0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7" xfId="0" applyNumberFormat="1" applyFont="1" applyFill="1" applyBorder="1" applyAlignment="1">
      <alignment horizontal="right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/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>
      <alignment vertical="top" wrapText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3" fontId="4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/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>
      <alignment vertical="top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1" xfId="1" applyNumberFormat="1" applyFont="1" applyFill="1" applyBorder="1" applyAlignment="1" applyProtection="1">
      <alignment horizontal="right" vertical="top" wrapText="1"/>
      <protection hidden="1"/>
    </xf>
    <xf numFmtId="3" fontId="11" fillId="3" borderId="11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2" fillId="3" borderId="13" xfId="1" applyNumberFormat="1" applyFont="1" applyFill="1" applyBorder="1" applyAlignment="1" applyProtection="1">
      <alignment horizontal="right" vertical="top"/>
      <protection hidden="1"/>
    </xf>
    <xf numFmtId="3" fontId="3" fillId="3" borderId="11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alignment horizontal="right" vertical="top"/>
      <protection hidden="1"/>
    </xf>
    <xf numFmtId="3" fontId="6" fillId="3" borderId="4" xfId="0" applyNumberFormat="1" applyFont="1" applyFill="1" applyBorder="1" applyAlignment="1">
      <alignment horizontal="right" vertical="top" wrapText="1"/>
    </xf>
    <xf numFmtId="3" fontId="3" fillId="3" borderId="13" xfId="1" applyNumberFormat="1" applyFont="1" applyFill="1" applyBorder="1" applyAlignment="1" applyProtection="1">
      <alignment horizontal="right" vertical="top"/>
      <protection hidden="1"/>
    </xf>
    <xf numFmtId="3" fontId="4" fillId="3" borderId="11" xfId="1" applyNumberFormat="1" applyFont="1" applyFill="1" applyBorder="1" applyAlignment="1" applyProtection="1">
      <alignment horizontal="right" vertical="top"/>
      <protection hidden="1"/>
    </xf>
    <xf numFmtId="3" fontId="3" fillId="3" borderId="4" xfId="1" applyNumberFormat="1" applyFont="1" applyFill="1" applyBorder="1" applyAlignment="1" applyProtection="1">
      <alignment horizontal="right" vertical="top"/>
      <protection hidden="1"/>
    </xf>
    <xf numFmtId="3" fontId="6" fillId="3" borderId="13" xfId="0" applyNumberFormat="1" applyFont="1" applyFill="1" applyBorder="1" applyAlignment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2" fillId="0" borderId="1" xfId="1" applyNumberFormat="1" applyFont="1" applyFill="1" applyBorder="1" applyAlignment="1" applyProtection="1">
      <alignment horizontal="right" vertical="top" wrapText="1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3" fontId="10" fillId="0" borderId="1" xfId="1" applyNumberFormat="1" applyFont="1" applyFill="1" applyBorder="1" applyAlignment="1" applyProtection="1">
      <alignment horizontal="right" vertical="top"/>
      <protection hidden="1"/>
    </xf>
    <xf numFmtId="3" fontId="3" fillId="5" borderId="1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vertical="top"/>
    </xf>
    <xf numFmtId="3" fontId="2" fillId="0" borderId="0" xfId="1" applyNumberFormat="1" applyFont="1" applyFill="1" applyAlignment="1" applyProtection="1">
      <alignment vertical="top" wrapText="1"/>
      <protection hidden="1"/>
    </xf>
    <xf numFmtId="3" fontId="2" fillId="0" borderId="11" xfId="1" applyNumberFormat="1" applyFont="1" applyFill="1" applyBorder="1" applyAlignment="1">
      <alignment horizontal="right" vertical="top"/>
    </xf>
    <xf numFmtId="3" fontId="4" fillId="0" borderId="11" xfId="1" applyNumberFormat="1" applyFont="1" applyFill="1" applyBorder="1" applyAlignment="1">
      <alignment horizontal="right" vertical="top"/>
    </xf>
    <xf numFmtId="3" fontId="3" fillId="0" borderId="11" xfId="1" applyNumberFormat="1" applyFont="1" applyFill="1" applyBorder="1" applyAlignment="1">
      <alignment horizontal="right" vertical="top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0" xfId="1" applyFont="1" applyFill="1" applyAlignment="1" applyProtection="1">
      <alignment vertical="center"/>
      <protection hidden="1"/>
    </xf>
    <xf numFmtId="3" fontId="3" fillId="3" borderId="11" xfId="1" applyNumberFormat="1" applyFont="1" applyFill="1" applyBorder="1" applyAlignment="1">
      <alignment horizontal="right" vertical="top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3" fontId="3" fillId="3" borderId="1" xfId="1" applyNumberFormat="1" applyFont="1" applyFill="1" applyBorder="1" applyAlignment="1">
      <alignment horizontal="right" vertical="top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vertical="top" wrapText="1"/>
    </xf>
    <xf numFmtId="0" fontId="20" fillId="0" borderId="0" xfId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left" vertical="top" wrapText="1"/>
      <protection hidden="1"/>
    </xf>
    <xf numFmtId="0" fontId="4" fillId="0" borderId="7" xfId="1" applyNumberFormat="1" applyFont="1" applyFill="1" applyBorder="1" applyAlignment="1" applyProtection="1">
      <alignment horizontal="left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3" fillId="3" borderId="7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1" xfId="1" applyNumberFormat="1" applyFont="1" applyFill="1" applyBorder="1" applyAlignment="1" applyProtection="1">
      <alignment horizontal="right" vertical="top"/>
      <protection hidden="1"/>
    </xf>
    <xf numFmtId="49" fontId="7" fillId="0" borderId="1" xfId="0" applyNumberFormat="1" applyFont="1" applyFill="1" applyBorder="1" applyAlignment="1">
      <alignment horizontal="center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left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1" fillId="3" borderId="1" xfId="1" applyFont="1" applyFill="1" applyBorder="1" applyAlignment="1">
      <alignment vertical="top"/>
    </xf>
    <xf numFmtId="0" fontId="3" fillId="3" borderId="1" xfId="1" applyFont="1" applyFill="1" applyBorder="1" applyAlignment="1">
      <alignment horizontal="center" vertical="top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left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righ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5" borderId="11" xfId="1" applyNumberFormat="1" applyFont="1" applyFill="1" applyBorder="1" applyAlignment="1" applyProtection="1">
      <alignment horizontal="center" vertical="center"/>
      <protection hidden="1"/>
    </xf>
    <xf numFmtId="0" fontId="4" fillId="4" borderId="5" xfId="1" applyNumberFormat="1" applyFont="1" applyFill="1" applyBorder="1" applyAlignment="1" applyProtection="1">
      <alignment horizontal="center" vertical="center"/>
      <protection hidden="1"/>
    </xf>
    <xf numFmtId="0" fontId="4" fillId="4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right" vertical="top" wrapText="1"/>
      <protection hidden="1"/>
    </xf>
    <xf numFmtId="0" fontId="21" fillId="0" borderId="0" xfId="1" applyFont="1" applyFill="1" applyAlignment="1" applyProtection="1">
      <alignment horizontal="right" vertical="top"/>
      <protection hidden="1"/>
    </xf>
    <xf numFmtId="0" fontId="21" fillId="0" borderId="0" xfId="1" applyFont="1" applyFill="1" applyAlignment="1" applyProtection="1">
      <alignment horizontal="right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left" vertical="top" wrapText="1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109375" defaultRowHeight="13.2" x14ac:dyDescent="0.25"/>
  <cols>
    <col min="1" max="1" width="0.109375" style="33" customWidth="1"/>
    <col min="2" max="2" width="0" style="33" hidden="1" customWidth="1"/>
    <col min="3" max="3" width="8.88671875" style="33" customWidth="1"/>
    <col min="4" max="4" width="60.109375" style="33" customWidth="1"/>
    <col min="5" max="5" width="17.88671875" style="33" customWidth="1"/>
    <col min="6" max="6" width="0.109375" style="33" hidden="1" customWidth="1"/>
    <col min="7" max="16384" width="9.109375" style="33"/>
  </cols>
  <sheetData>
    <row r="1" spans="1:6" ht="15.6" customHeight="1" x14ac:dyDescent="0.3">
      <c r="A1" s="31"/>
      <c r="B1" s="31"/>
      <c r="C1" s="31"/>
      <c r="D1" s="352" t="s">
        <v>98</v>
      </c>
      <c r="E1" s="352"/>
      <c r="F1" s="32" t="s">
        <v>99</v>
      </c>
    </row>
    <row r="2" spans="1:6" ht="15.6" customHeight="1" x14ac:dyDescent="0.3">
      <c r="A2" s="31"/>
      <c r="B2" s="31"/>
      <c r="C2" s="31"/>
      <c r="D2" s="352" t="s">
        <v>100</v>
      </c>
      <c r="E2" s="352"/>
      <c r="F2" s="32"/>
    </row>
    <row r="3" spans="1:6" ht="15.6" customHeight="1" x14ac:dyDescent="0.3">
      <c r="A3" s="31"/>
      <c r="B3" s="31"/>
      <c r="C3" s="31"/>
      <c r="D3" s="350" t="s">
        <v>101</v>
      </c>
      <c r="E3" s="350"/>
      <c r="F3" s="32"/>
    </row>
    <row r="4" spans="1:6" ht="15.6" customHeight="1" x14ac:dyDescent="0.3">
      <c r="A4" s="31"/>
      <c r="B4" s="31"/>
      <c r="C4" s="31"/>
      <c r="D4" s="350" t="s">
        <v>102</v>
      </c>
      <c r="E4" s="350"/>
      <c r="F4" s="32"/>
    </row>
    <row r="5" spans="1:6" ht="15" customHeight="1" x14ac:dyDescent="0.3">
      <c r="A5" s="31"/>
      <c r="B5" s="31"/>
      <c r="C5" s="31"/>
      <c r="D5" s="350" t="s">
        <v>103</v>
      </c>
      <c r="E5" s="350"/>
      <c r="F5" s="32"/>
    </row>
    <row r="6" spans="1:6" ht="15" customHeight="1" x14ac:dyDescent="0.3">
      <c r="A6" s="31"/>
      <c r="B6" s="31"/>
      <c r="C6" s="31"/>
      <c r="D6" s="34"/>
      <c r="E6" s="34"/>
      <c r="F6" s="32"/>
    </row>
    <row r="7" spans="1:6" ht="60" customHeight="1" x14ac:dyDescent="0.3">
      <c r="A7" s="31"/>
      <c r="B7" s="31"/>
      <c r="C7" s="351" t="s">
        <v>104</v>
      </c>
      <c r="D7" s="351"/>
      <c r="E7" s="351"/>
      <c r="F7" s="32"/>
    </row>
    <row r="8" spans="1:6" ht="14.85" customHeight="1" x14ac:dyDescent="0.25">
      <c r="A8" s="32"/>
      <c r="B8" s="32"/>
      <c r="C8" s="32"/>
      <c r="D8" s="32"/>
      <c r="E8" s="32"/>
      <c r="F8" s="32"/>
    </row>
    <row r="9" spans="1:6" ht="31.35" customHeight="1" x14ac:dyDescent="0.3">
      <c r="A9" s="31"/>
      <c r="B9" s="35"/>
      <c r="C9" s="1" t="s">
        <v>105</v>
      </c>
      <c r="D9" s="1" t="s">
        <v>59</v>
      </c>
      <c r="E9" s="1" t="s">
        <v>60</v>
      </c>
      <c r="F9" s="32"/>
    </row>
    <row r="10" spans="1:6" ht="15.6" x14ac:dyDescent="0.3">
      <c r="A10" s="36"/>
      <c r="B10" s="349">
        <v>100</v>
      </c>
      <c r="C10" s="349"/>
      <c r="D10" s="2" t="s">
        <v>106</v>
      </c>
      <c r="E10" s="37" t="e">
        <f>SUM(E11:E18)</f>
        <v>#REF!</v>
      </c>
      <c r="F10" s="38"/>
    </row>
    <row r="11" spans="1:6" ht="31.2" x14ac:dyDescent="0.3">
      <c r="A11" s="36"/>
      <c r="B11" s="24">
        <v>100</v>
      </c>
      <c r="C11" s="24">
        <v>102</v>
      </c>
      <c r="D11" s="14" t="s">
        <v>107</v>
      </c>
      <c r="E11" s="25">
        <f>'Приложение 6 '!M676</f>
        <v>1565300</v>
      </c>
      <c r="F11" s="38"/>
    </row>
    <row r="12" spans="1:6" ht="46.8" x14ac:dyDescent="0.3">
      <c r="A12" s="36"/>
      <c r="B12" s="24">
        <v>100</v>
      </c>
      <c r="C12" s="24">
        <v>103</v>
      </c>
      <c r="D12" s="14" t="s">
        <v>108</v>
      </c>
      <c r="E12" s="25">
        <f>'Приложение 6 '!M702+'Приложение 6 '!M704</f>
        <v>25000</v>
      </c>
      <c r="F12" s="38"/>
    </row>
    <row r="13" spans="1:6" ht="51.75" customHeight="1" x14ac:dyDescent="0.3">
      <c r="A13" s="36"/>
      <c r="B13" s="24">
        <v>100</v>
      </c>
      <c r="C13" s="24">
        <v>104</v>
      </c>
      <c r="D13" s="14" t="s">
        <v>109</v>
      </c>
      <c r="E13" s="25">
        <f>'Приложение 6 '!M678+'Приложение 6 '!M694</f>
        <v>17385480</v>
      </c>
      <c r="F13" s="38"/>
    </row>
    <row r="14" spans="1:6" ht="14.85" hidden="1" customHeight="1" x14ac:dyDescent="0.3">
      <c r="A14" s="36"/>
      <c r="B14" s="24">
        <v>100</v>
      </c>
      <c r="C14" s="24">
        <v>105</v>
      </c>
      <c r="D14" s="14" t="s">
        <v>110</v>
      </c>
      <c r="E14" s="25"/>
      <c r="F14" s="38"/>
    </row>
    <row r="15" spans="1:6" ht="46.8" x14ac:dyDescent="0.3">
      <c r="A15" s="36"/>
      <c r="B15" s="24">
        <v>100</v>
      </c>
      <c r="C15" s="24">
        <v>106</v>
      </c>
      <c r="D15" s="14" t="s">
        <v>111</v>
      </c>
      <c r="E15" s="25" t="e">
        <f>'Приложение 6 '!M710+'Приложение 6 '!M712+'Приложение 6 '!#REF!</f>
        <v>#REF!</v>
      </c>
      <c r="F15" s="38"/>
    </row>
    <row r="16" spans="1:6" ht="15.6" hidden="1" x14ac:dyDescent="0.3">
      <c r="A16" s="36"/>
      <c r="B16" s="24">
        <v>100</v>
      </c>
      <c r="C16" s="24">
        <v>107</v>
      </c>
      <c r="D16" s="14" t="s">
        <v>112</v>
      </c>
      <c r="E16" s="25"/>
      <c r="F16" s="38"/>
    </row>
    <row r="17" spans="1:6" ht="15.6" x14ac:dyDescent="0.3">
      <c r="A17" s="36"/>
      <c r="B17" s="24">
        <v>100</v>
      </c>
      <c r="C17" s="24">
        <v>111</v>
      </c>
      <c r="D17" s="14" t="s">
        <v>113</v>
      </c>
      <c r="E17" s="25">
        <f>'Приложение 6 '!M685</f>
        <v>200000</v>
      </c>
      <c r="F17" s="38"/>
    </row>
    <row r="18" spans="1:6" ht="15.6" x14ac:dyDescent="0.3">
      <c r="A18" s="36"/>
      <c r="B18" s="24">
        <v>100</v>
      </c>
      <c r="C18" s="24">
        <v>113</v>
      </c>
      <c r="D18" s="14" t="s">
        <v>114</v>
      </c>
      <c r="E18" s="25" t="e">
        <f>'Приложение 6 '!M581+'Приложение 6 '!M591+'Приложение 6 '!M598+'Приложение 6 '!M697+'Приложение 6 '!#REF!</f>
        <v>#REF!</v>
      </c>
      <c r="F18" s="38"/>
    </row>
    <row r="19" spans="1:6" ht="15.6" x14ac:dyDescent="0.3">
      <c r="A19" s="36"/>
      <c r="B19" s="349">
        <v>200</v>
      </c>
      <c r="C19" s="349"/>
      <c r="D19" s="2" t="s">
        <v>115</v>
      </c>
      <c r="E19" s="37" t="e">
        <f>SUM(E20:E21)</f>
        <v>#REF!</v>
      </c>
      <c r="F19" s="38"/>
    </row>
    <row r="20" spans="1:6" ht="15.6" x14ac:dyDescent="0.3">
      <c r="A20" s="36"/>
      <c r="B20" s="24">
        <v>200</v>
      </c>
      <c r="C20" s="24">
        <v>203</v>
      </c>
      <c r="D20" s="14" t="s">
        <v>116</v>
      </c>
      <c r="E20" s="25" t="e">
        <f>'Приложение 6 '!#REF!</f>
        <v>#REF!</v>
      </c>
      <c r="F20" s="38"/>
    </row>
    <row r="21" spans="1:6" ht="15.6" hidden="1" x14ac:dyDescent="0.3">
      <c r="A21" s="36"/>
      <c r="B21" s="24">
        <v>200</v>
      </c>
      <c r="C21" s="24">
        <v>204</v>
      </c>
      <c r="D21" s="14" t="s">
        <v>117</v>
      </c>
      <c r="E21" s="25"/>
      <c r="F21" s="38"/>
    </row>
    <row r="22" spans="1:6" ht="31.2" x14ac:dyDescent="0.3">
      <c r="A22" s="36"/>
      <c r="B22" s="349">
        <v>300</v>
      </c>
      <c r="C22" s="349"/>
      <c r="D22" s="2" t="s">
        <v>118</v>
      </c>
      <c r="E22" s="37" t="e">
        <f>SUM(E23:E26)</f>
        <v>#REF!</v>
      </c>
      <c r="F22" s="38"/>
    </row>
    <row r="23" spans="1:6" ht="15.6" x14ac:dyDescent="0.3">
      <c r="A23" s="36"/>
      <c r="B23" s="24">
        <v>300</v>
      </c>
      <c r="C23" s="24">
        <v>304</v>
      </c>
      <c r="D23" s="14" t="s">
        <v>119</v>
      </c>
      <c r="E23" s="25">
        <f>'Приложение 6 '!M673</f>
        <v>1543588</v>
      </c>
      <c r="F23" s="38"/>
    </row>
    <row r="24" spans="1:6" ht="35.25" customHeight="1" x14ac:dyDescent="0.3">
      <c r="A24" s="36"/>
      <c r="B24" s="24">
        <v>300</v>
      </c>
      <c r="C24" s="24">
        <v>309</v>
      </c>
      <c r="D24" s="14" t="s">
        <v>120</v>
      </c>
      <c r="E24" s="25" t="e">
        <f>'Приложение 6 '!M484+'Приложение 6 '!#REF!</f>
        <v>#REF!</v>
      </c>
      <c r="F24" s="38"/>
    </row>
    <row r="25" spans="1:6" ht="15.6" hidden="1" x14ac:dyDescent="0.3">
      <c r="A25" s="36"/>
      <c r="B25" s="24">
        <v>300</v>
      </c>
      <c r="C25" s="24">
        <v>310</v>
      </c>
      <c r="D25" s="14" t="s">
        <v>121</v>
      </c>
      <c r="E25" s="25"/>
      <c r="F25" s="38"/>
    </row>
    <row r="26" spans="1:6" ht="31.2" hidden="1" x14ac:dyDescent="0.3">
      <c r="A26" s="36"/>
      <c r="B26" s="24">
        <v>300</v>
      </c>
      <c r="C26" s="24">
        <v>314</v>
      </c>
      <c r="D26" s="14" t="s">
        <v>122</v>
      </c>
      <c r="E26" s="25"/>
      <c r="F26" s="38"/>
    </row>
    <row r="27" spans="1:6" ht="15.6" x14ac:dyDescent="0.3">
      <c r="A27" s="36"/>
      <c r="B27" s="349">
        <v>400</v>
      </c>
      <c r="C27" s="349"/>
      <c r="D27" s="2" t="s">
        <v>123</v>
      </c>
      <c r="E27" s="37" t="e">
        <f>SUM(E28:E37)</f>
        <v>#REF!</v>
      </c>
      <c r="F27" s="38"/>
    </row>
    <row r="28" spans="1:6" ht="15.6" hidden="1" x14ac:dyDescent="0.3">
      <c r="A28" s="36"/>
      <c r="B28" s="24">
        <v>400</v>
      </c>
      <c r="C28" s="24">
        <v>401</v>
      </c>
      <c r="D28" s="14" t="s">
        <v>124</v>
      </c>
      <c r="E28" s="25"/>
      <c r="F28" s="38"/>
    </row>
    <row r="29" spans="1:6" ht="15.6" hidden="1" x14ac:dyDescent="0.3">
      <c r="A29" s="36"/>
      <c r="B29" s="24">
        <v>400</v>
      </c>
      <c r="C29" s="24">
        <v>402</v>
      </c>
      <c r="D29" s="14" t="s">
        <v>125</v>
      </c>
      <c r="E29" s="25"/>
      <c r="F29" s="38"/>
    </row>
    <row r="30" spans="1:6" ht="15.6" hidden="1" x14ac:dyDescent="0.3">
      <c r="A30" s="36"/>
      <c r="B30" s="24">
        <v>400</v>
      </c>
      <c r="C30" s="24">
        <v>404</v>
      </c>
      <c r="D30" s="14" t="s">
        <v>126</v>
      </c>
      <c r="E30" s="25"/>
      <c r="F30" s="38"/>
    </row>
    <row r="31" spans="1:6" ht="15.6" x14ac:dyDescent="0.3">
      <c r="A31" s="36"/>
      <c r="B31" s="24">
        <v>400</v>
      </c>
      <c r="C31" s="24">
        <v>405</v>
      </c>
      <c r="D31" s="14" t="s">
        <v>127</v>
      </c>
      <c r="E31" s="25">
        <f>'Приложение 6 '!M637</f>
        <v>69348</v>
      </c>
      <c r="F31" s="38"/>
    </row>
    <row r="32" spans="1:6" ht="15.6" hidden="1" x14ac:dyDescent="0.3">
      <c r="A32" s="36"/>
      <c r="B32" s="24">
        <v>400</v>
      </c>
      <c r="C32" s="24">
        <v>406</v>
      </c>
      <c r="D32" s="14" t="s">
        <v>128</v>
      </c>
      <c r="E32" s="25"/>
      <c r="F32" s="38"/>
    </row>
    <row r="33" spans="1:6" ht="15.6" hidden="1" x14ac:dyDescent="0.3">
      <c r="A33" s="36"/>
      <c r="B33" s="24">
        <v>400</v>
      </c>
      <c r="C33" s="24">
        <v>407</v>
      </c>
      <c r="D33" s="14" t="s">
        <v>129</v>
      </c>
      <c r="E33" s="25"/>
      <c r="F33" s="38"/>
    </row>
    <row r="34" spans="1:6" ht="15.6" x14ac:dyDescent="0.3">
      <c r="A34" s="36"/>
      <c r="B34" s="24">
        <v>400</v>
      </c>
      <c r="C34" s="24">
        <v>408</v>
      </c>
      <c r="D34" s="14" t="s">
        <v>130</v>
      </c>
      <c r="E34" s="25">
        <f>'Приложение 6 '!M631</f>
        <v>7660000</v>
      </c>
      <c r="F34" s="38"/>
    </row>
    <row r="35" spans="1:6" ht="15.6" x14ac:dyDescent="0.3">
      <c r="A35" s="36"/>
      <c r="B35" s="24">
        <v>400</v>
      </c>
      <c r="C35" s="24">
        <v>409</v>
      </c>
      <c r="D35" s="14" t="s">
        <v>131</v>
      </c>
      <c r="E35" s="25">
        <f>'Приложение 6 '!M613</f>
        <v>28734114</v>
      </c>
      <c r="F35" s="38"/>
    </row>
    <row r="36" spans="1:6" ht="15.6" hidden="1" x14ac:dyDescent="0.3">
      <c r="A36" s="36"/>
      <c r="B36" s="24">
        <v>400</v>
      </c>
      <c r="C36" s="24">
        <v>410</v>
      </c>
      <c r="D36" s="14" t="s">
        <v>132</v>
      </c>
      <c r="E36" s="25"/>
      <c r="F36" s="38"/>
    </row>
    <row r="37" spans="1:6" ht="15.6" x14ac:dyDescent="0.3">
      <c r="A37" s="36"/>
      <c r="B37" s="24">
        <v>400</v>
      </c>
      <c r="C37" s="24">
        <v>412</v>
      </c>
      <c r="D37" s="14" t="s">
        <v>133</v>
      </c>
      <c r="E37" s="25" t="e">
        <f>'Приложение 6 '!#REF!+'Приложение 6 '!#REF!+'Приложение 6 '!M528+'Приложение 6 '!M536</f>
        <v>#REF!</v>
      </c>
      <c r="F37" s="38"/>
    </row>
    <row r="38" spans="1:6" ht="15.6" x14ac:dyDescent="0.3">
      <c r="A38" s="36"/>
      <c r="B38" s="349">
        <v>500</v>
      </c>
      <c r="C38" s="349"/>
      <c r="D38" s="2" t="s">
        <v>134</v>
      </c>
      <c r="E38" s="37" t="e">
        <f>SUM(E39:E41)</f>
        <v>#REF!</v>
      </c>
      <c r="F38" s="38"/>
    </row>
    <row r="39" spans="1:6" ht="15.6" hidden="1" x14ac:dyDescent="0.3">
      <c r="A39" s="36"/>
      <c r="B39" s="24">
        <v>500</v>
      </c>
      <c r="C39" s="24">
        <v>501</v>
      </c>
      <c r="D39" s="14" t="s">
        <v>135</v>
      </c>
      <c r="E39" s="25"/>
      <c r="F39" s="38"/>
    </row>
    <row r="40" spans="1:6" ht="15.6" x14ac:dyDescent="0.3">
      <c r="A40" s="36"/>
      <c r="B40" s="24">
        <v>500</v>
      </c>
      <c r="C40" s="24">
        <v>502</v>
      </c>
      <c r="D40" s="14" t="s">
        <v>136</v>
      </c>
      <c r="E40" s="25" t="e">
        <f>'Приложение 6 '!M516+'Приложение 6 '!#REF!+'Приложение 6 '!#REF!+'Приложение 6 '!#REF!</f>
        <v>#REF!</v>
      </c>
      <c r="F40" s="38"/>
    </row>
    <row r="41" spans="1:6" ht="31.2" hidden="1" x14ac:dyDescent="0.3">
      <c r="A41" s="36"/>
      <c r="B41" s="24">
        <v>500</v>
      </c>
      <c r="C41" s="24">
        <v>505</v>
      </c>
      <c r="D41" s="14" t="s">
        <v>137</v>
      </c>
      <c r="E41" s="25"/>
      <c r="F41" s="38"/>
    </row>
    <row r="42" spans="1:6" ht="15.6" hidden="1" x14ac:dyDescent="0.3">
      <c r="A42" s="36"/>
      <c r="B42" s="349">
        <v>600</v>
      </c>
      <c r="C42" s="349"/>
      <c r="D42" s="2" t="s">
        <v>138</v>
      </c>
      <c r="E42" s="37"/>
      <c r="F42" s="38"/>
    </row>
    <row r="43" spans="1:6" ht="31.2" hidden="1" x14ac:dyDescent="0.3">
      <c r="A43" s="36"/>
      <c r="B43" s="24">
        <v>600</v>
      </c>
      <c r="C43" s="24">
        <v>603</v>
      </c>
      <c r="D43" s="14" t="s">
        <v>139</v>
      </c>
      <c r="E43" s="25"/>
      <c r="F43" s="38"/>
    </row>
    <row r="44" spans="1:6" ht="15.6" hidden="1" x14ac:dyDescent="0.3">
      <c r="A44" s="36"/>
      <c r="B44" s="24">
        <v>600</v>
      </c>
      <c r="C44" s="24">
        <v>605</v>
      </c>
      <c r="D44" s="14" t="s">
        <v>140</v>
      </c>
      <c r="E44" s="25"/>
      <c r="F44" s="38"/>
    </row>
    <row r="45" spans="1:6" ht="15.6" x14ac:dyDescent="0.3">
      <c r="A45" s="36"/>
      <c r="B45" s="349">
        <v>700</v>
      </c>
      <c r="C45" s="349"/>
      <c r="D45" s="2" t="s">
        <v>141</v>
      </c>
      <c r="E45" s="37" t="e">
        <f>SUM(E46:E51)</f>
        <v>#REF!</v>
      </c>
      <c r="F45" s="38"/>
    </row>
    <row r="46" spans="1:6" ht="15.6" x14ac:dyDescent="0.3">
      <c r="A46" s="36"/>
      <c r="B46" s="24">
        <v>700</v>
      </c>
      <c r="C46" s="24">
        <v>701</v>
      </c>
      <c r="D46" s="14" t="s">
        <v>142</v>
      </c>
      <c r="E46" s="25" t="e">
        <f>'Приложение 6 '!M153+'Приложение 6 '!#REF!+'Приложение 6 '!#REF!+'Приложение 6 '!#REF!+'Приложение 6 '!#REF!+'Приложение 6 '!#REF!</f>
        <v>#REF!</v>
      </c>
      <c r="F46" s="38"/>
    </row>
    <row r="47" spans="1:6" ht="15.6" x14ac:dyDescent="0.3">
      <c r="A47" s="36"/>
      <c r="B47" s="24">
        <v>700</v>
      </c>
      <c r="C47" s="24">
        <v>702</v>
      </c>
      <c r="D47" s="14" t="s">
        <v>143</v>
      </c>
      <c r="E47" s="25" t="e">
        <f>'Приложение 6 '!M157+'Приложение 6 '!M161+'Приложение 6 '!#REF!+'Приложение 6 '!#REF!+'Приложение 6 '!#REF!+'Приложение 6 '!#REF!+'Приложение 6 '!M197+'Приложение 6 '!#REF!+'Приложение 6 '!#REF!+'Приложение 6 '!M205+'Приложение 6 '!#REF!</f>
        <v>#REF!</v>
      </c>
      <c r="F47" s="38"/>
    </row>
    <row r="48" spans="1:6" ht="15.6" hidden="1" x14ac:dyDescent="0.3">
      <c r="A48" s="36"/>
      <c r="B48" s="24">
        <v>700</v>
      </c>
      <c r="C48" s="24">
        <v>704</v>
      </c>
      <c r="D48" s="14" t="s">
        <v>144</v>
      </c>
      <c r="E48" s="25"/>
      <c r="F48" s="38"/>
    </row>
    <row r="49" spans="1:6" ht="31.2" hidden="1" x14ac:dyDescent="0.3">
      <c r="A49" s="36"/>
      <c r="B49" s="24">
        <v>700</v>
      </c>
      <c r="C49" s="24">
        <v>705</v>
      </c>
      <c r="D49" s="14" t="s">
        <v>145</v>
      </c>
      <c r="E49" s="25"/>
      <c r="F49" s="38"/>
    </row>
    <row r="50" spans="1:6" ht="15.6" x14ac:dyDescent="0.3">
      <c r="A50" s="36"/>
      <c r="B50" s="24">
        <v>700</v>
      </c>
      <c r="C50" s="24">
        <v>707</v>
      </c>
      <c r="D50" s="14" t="s">
        <v>146</v>
      </c>
      <c r="E50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0" s="38"/>
    </row>
    <row r="51" spans="1:6" ht="15.6" x14ac:dyDescent="0.3">
      <c r="A51" s="36"/>
      <c r="B51" s="24">
        <v>700</v>
      </c>
      <c r="C51" s="24">
        <v>709</v>
      </c>
      <c r="D51" s="14" t="s">
        <v>147</v>
      </c>
      <c r="E51" s="25" t="e">
        <f>'Приложение 6 '!M164+'Приложение 6 '!#REF!+'Приложение 6 '!#REF!+'Приложение 6 '!#REF!</f>
        <v>#REF!</v>
      </c>
      <c r="F51" s="38"/>
    </row>
    <row r="52" spans="1:6" ht="15.6" x14ac:dyDescent="0.3">
      <c r="A52" s="36"/>
      <c r="B52" s="349">
        <v>800</v>
      </c>
      <c r="C52" s="349"/>
      <c r="D52" s="2" t="s">
        <v>148</v>
      </c>
      <c r="E52" s="37" t="e">
        <f>SUM(E53:E54)</f>
        <v>#REF!</v>
      </c>
      <c r="F52" s="38"/>
    </row>
    <row r="53" spans="1:6" ht="15.6" x14ac:dyDescent="0.3">
      <c r="A53" s="36"/>
      <c r="B53" s="24">
        <v>800</v>
      </c>
      <c r="C53" s="24">
        <v>801</v>
      </c>
      <c r="D53" s="14" t="s">
        <v>149</v>
      </c>
      <c r="E53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3" s="38"/>
    </row>
    <row r="54" spans="1:6" ht="15.6" x14ac:dyDescent="0.3">
      <c r="A54" s="36"/>
      <c r="B54" s="24">
        <v>800</v>
      </c>
      <c r="C54" s="24">
        <v>804</v>
      </c>
      <c r="D54" s="14" t="s">
        <v>150</v>
      </c>
      <c r="E54" s="25" t="e">
        <f>'Приложение 6 '!#REF!+'Приложение 6 '!#REF!</f>
        <v>#REF!</v>
      </c>
      <c r="F54" s="38"/>
    </row>
    <row r="55" spans="1:6" ht="15.6" hidden="1" x14ac:dyDescent="0.3">
      <c r="A55" s="36"/>
      <c r="B55" s="349">
        <v>900</v>
      </c>
      <c r="C55" s="349"/>
      <c r="D55" s="2" t="s">
        <v>151</v>
      </c>
      <c r="E55" s="37"/>
      <c r="F55" s="38"/>
    </row>
    <row r="56" spans="1:6" ht="15.6" hidden="1" x14ac:dyDescent="0.3">
      <c r="A56" s="36"/>
      <c r="B56" s="24">
        <v>900</v>
      </c>
      <c r="C56" s="24">
        <v>901</v>
      </c>
      <c r="D56" s="14" t="s">
        <v>152</v>
      </c>
      <c r="E56" s="25"/>
      <c r="F56" s="38"/>
    </row>
    <row r="57" spans="1:6" ht="15.6" hidden="1" x14ac:dyDescent="0.3">
      <c r="A57" s="36"/>
      <c r="B57" s="24">
        <v>900</v>
      </c>
      <c r="C57" s="24">
        <v>902</v>
      </c>
      <c r="D57" s="14" t="s">
        <v>153</v>
      </c>
      <c r="E57" s="25"/>
      <c r="F57" s="38"/>
    </row>
    <row r="58" spans="1:6" ht="15.6" hidden="1" x14ac:dyDescent="0.3">
      <c r="A58" s="36"/>
      <c r="B58" s="24">
        <v>900</v>
      </c>
      <c r="C58" s="24">
        <v>903</v>
      </c>
      <c r="D58" s="14" t="s">
        <v>154</v>
      </c>
      <c r="E58" s="25"/>
      <c r="F58" s="38"/>
    </row>
    <row r="59" spans="1:6" ht="15.6" hidden="1" x14ac:dyDescent="0.3">
      <c r="A59" s="36"/>
      <c r="B59" s="24">
        <v>900</v>
      </c>
      <c r="C59" s="24">
        <v>904</v>
      </c>
      <c r="D59" s="14" t="s">
        <v>155</v>
      </c>
      <c r="E59" s="25"/>
      <c r="F59" s="38"/>
    </row>
    <row r="60" spans="1:6" ht="15.6" hidden="1" x14ac:dyDescent="0.3">
      <c r="A60" s="36"/>
      <c r="B60" s="24">
        <v>900</v>
      </c>
      <c r="C60" s="24">
        <v>905</v>
      </c>
      <c r="D60" s="14" t="s">
        <v>156</v>
      </c>
      <c r="E60" s="25"/>
      <c r="F60" s="38"/>
    </row>
    <row r="61" spans="1:6" ht="31.2" hidden="1" x14ac:dyDescent="0.3">
      <c r="A61" s="36"/>
      <c r="B61" s="24">
        <v>900</v>
      </c>
      <c r="C61" s="24">
        <v>906</v>
      </c>
      <c r="D61" s="14" t="s">
        <v>157</v>
      </c>
      <c r="E61" s="25"/>
      <c r="F61" s="38"/>
    </row>
    <row r="62" spans="1:6" ht="15.6" hidden="1" x14ac:dyDescent="0.3">
      <c r="A62" s="36"/>
      <c r="B62" s="24">
        <v>900</v>
      </c>
      <c r="C62" s="24">
        <v>909</v>
      </c>
      <c r="D62" s="14" t="s">
        <v>158</v>
      </c>
      <c r="E62" s="25"/>
      <c r="F62" s="38"/>
    </row>
    <row r="63" spans="1:6" ht="15.6" x14ac:dyDescent="0.3">
      <c r="A63" s="36"/>
      <c r="B63" s="349">
        <v>1000</v>
      </c>
      <c r="C63" s="349"/>
      <c r="D63" s="2" t="s">
        <v>159</v>
      </c>
      <c r="E63" s="37" t="e">
        <f>SUM(E64:E68)</f>
        <v>#REF!</v>
      </c>
      <c r="F63" s="38"/>
    </row>
    <row r="64" spans="1:6" ht="15.6" x14ac:dyDescent="0.3">
      <c r="A64" s="36"/>
      <c r="B64" s="24">
        <v>1000</v>
      </c>
      <c r="C64" s="24">
        <v>1001</v>
      </c>
      <c r="D64" s="14" t="s">
        <v>160</v>
      </c>
      <c r="E64" s="25">
        <f>'Приложение 6 '!M347</f>
        <v>1195000</v>
      </c>
      <c r="F64" s="38"/>
    </row>
    <row r="65" spans="1:6" ht="15.6" x14ac:dyDescent="0.3">
      <c r="A65" s="36"/>
      <c r="B65" s="24">
        <v>1000</v>
      </c>
      <c r="C65" s="24">
        <v>1002</v>
      </c>
      <c r="D65" s="14" t="s">
        <v>161</v>
      </c>
      <c r="E65" s="25" t="e">
        <f>'Приложение 6 '!#REF!</f>
        <v>#REF!</v>
      </c>
      <c r="F65" s="38"/>
    </row>
    <row r="66" spans="1:6" ht="15.6" x14ac:dyDescent="0.3">
      <c r="A66" s="36"/>
      <c r="B66" s="24">
        <v>1000</v>
      </c>
      <c r="C66" s="24">
        <v>1003</v>
      </c>
      <c r="D66" s="14" t="s">
        <v>162</v>
      </c>
      <c r="E66" s="25" t="e">
        <f>'Приложение 6 '!M330+'Приложение 6 '!M333+'Приложение 6 '!M349+'Приложение 6 '!M351+'Приложение 6 '!M354+'Приложение 6 '!M362+'Приложение 6 '!M365+'Приложение 6 '!#REF!+'Приложение 6 '!#REF!+'Приложение 6 '!M368+'Приложение 6 '!#REF!+'Приложение 6 '!#REF!+'Приложение 6 '!#REF!+'Приложение 6 '!M635</f>
        <v>#REF!</v>
      </c>
      <c r="F66" s="38"/>
    </row>
    <row r="67" spans="1:6" ht="15.6" x14ac:dyDescent="0.3">
      <c r="A67" s="36"/>
      <c r="B67" s="24">
        <v>1000</v>
      </c>
      <c r="C67" s="24">
        <v>1004</v>
      </c>
      <c r="D67" s="14" t="s">
        <v>163</v>
      </c>
      <c r="E67" s="25" t="e">
        <f>'Приложение 6 '!#REF!+'Приложение 6 '!M192+'Приложение 6 '!M194+'Приложение 6 '!M199+'Приложение 6 '!M336+'Приложение 6 '!M339+'Приложение 6 '!M342+'Приложение 6 '!#REF!+'Приложение 6 '!#REF!+'Приложение 6 '!#REF!+'Приложение 6 '!M461+'Приложение 6 '!#REF!</f>
        <v>#REF!</v>
      </c>
      <c r="F67" s="38"/>
    </row>
    <row r="68" spans="1:6" ht="15.6" x14ac:dyDescent="0.3">
      <c r="A68" s="36"/>
      <c r="B68" s="24">
        <v>1000</v>
      </c>
      <c r="C68" s="24">
        <v>1006</v>
      </c>
      <c r="D68" s="14" t="s">
        <v>164</v>
      </c>
      <c r="E68" s="25" t="e">
        <f>'Приложение 6 '!#REF!+'Приложение 6 '!M404+'Приложение 6 '!#REF!</f>
        <v>#REF!</v>
      </c>
      <c r="F68" s="38"/>
    </row>
    <row r="69" spans="1:6" ht="15.6" x14ac:dyDescent="0.3">
      <c r="A69" s="36"/>
      <c r="B69" s="349">
        <v>1100</v>
      </c>
      <c r="C69" s="349"/>
      <c r="D69" s="2" t="s">
        <v>165</v>
      </c>
      <c r="E69" s="37">
        <f>SUM(E70:E72)</f>
        <v>0</v>
      </c>
      <c r="F69" s="38"/>
    </row>
    <row r="70" spans="1:6" ht="15.6" x14ac:dyDescent="0.3">
      <c r="A70" s="36"/>
      <c r="B70" s="24">
        <v>1100</v>
      </c>
      <c r="C70" s="24">
        <v>1102</v>
      </c>
      <c r="D70" s="14" t="s">
        <v>166</v>
      </c>
      <c r="E70" s="25">
        <f>'Приложение 6 '!M502</f>
        <v>0</v>
      </c>
      <c r="F70" s="38"/>
    </row>
    <row r="71" spans="1:6" ht="15.6" hidden="1" x14ac:dyDescent="0.3">
      <c r="A71" s="36"/>
      <c r="B71" s="24">
        <v>1100</v>
      </c>
      <c r="C71" s="24">
        <v>1103</v>
      </c>
      <c r="D71" s="14" t="s">
        <v>167</v>
      </c>
      <c r="E71" s="25"/>
      <c r="F71" s="38"/>
    </row>
    <row r="72" spans="1:6" ht="15.6" hidden="1" x14ac:dyDescent="0.3">
      <c r="A72" s="36"/>
      <c r="B72" s="24">
        <v>1100</v>
      </c>
      <c r="C72" s="24">
        <v>1105</v>
      </c>
      <c r="D72" s="14" t="s">
        <v>168</v>
      </c>
      <c r="E72" s="25"/>
      <c r="F72" s="38"/>
    </row>
    <row r="73" spans="1:6" ht="15.6" x14ac:dyDescent="0.3">
      <c r="A73" s="36"/>
      <c r="B73" s="349">
        <v>1200</v>
      </c>
      <c r="C73" s="349"/>
      <c r="D73" s="2" t="s">
        <v>169</v>
      </c>
      <c r="E73" s="37" t="e">
        <f>SUM(E74)</f>
        <v>#REF!</v>
      </c>
      <c r="F73" s="38"/>
    </row>
    <row r="74" spans="1:6" ht="15.6" x14ac:dyDescent="0.3">
      <c r="A74" s="36"/>
      <c r="B74" s="24">
        <v>1200</v>
      </c>
      <c r="C74" s="24">
        <v>1202</v>
      </c>
      <c r="D74" s="14" t="s">
        <v>170</v>
      </c>
      <c r="E74" s="25" t="e">
        <f>'Приложение 6 '!M608+'Приложение 6 '!#REF!</f>
        <v>#REF!</v>
      </c>
      <c r="F74" s="38"/>
    </row>
    <row r="75" spans="1:6" ht="31.2" x14ac:dyDescent="0.3">
      <c r="A75" s="36"/>
      <c r="B75" s="349">
        <v>1300</v>
      </c>
      <c r="C75" s="349"/>
      <c r="D75" s="2" t="s">
        <v>171</v>
      </c>
      <c r="E75" s="37" t="e">
        <f>E76</f>
        <v>#REF!</v>
      </c>
      <c r="F75" s="38"/>
    </row>
    <row r="76" spans="1:6" ht="31.2" x14ac:dyDescent="0.3">
      <c r="A76" s="36"/>
      <c r="B76" s="24">
        <v>1300</v>
      </c>
      <c r="C76" s="24">
        <v>1301</v>
      </c>
      <c r="D76" s="14" t="s">
        <v>172</v>
      </c>
      <c r="E76" s="25" t="e">
        <f>'Приложение 6 '!#REF!</f>
        <v>#REF!</v>
      </c>
      <c r="F76" s="38"/>
    </row>
    <row r="77" spans="1:6" ht="46.8" x14ac:dyDescent="0.3">
      <c r="A77" s="36"/>
      <c r="B77" s="349">
        <v>1400</v>
      </c>
      <c r="C77" s="349"/>
      <c r="D77" s="2" t="s">
        <v>173</v>
      </c>
      <c r="E77" s="37" t="e">
        <f>SUM(E78:E80)</f>
        <v>#REF!</v>
      </c>
      <c r="F77" s="38"/>
    </row>
    <row r="78" spans="1:6" ht="46.8" x14ac:dyDescent="0.3">
      <c r="A78" s="36"/>
      <c r="B78" s="24">
        <v>1400</v>
      </c>
      <c r="C78" s="24">
        <v>1401</v>
      </c>
      <c r="D78" s="14" t="s">
        <v>174</v>
      </c>
      <c r="E78" s="25" t="e">
        <f>'Приложение 6 '!#REF!+'Приложение 6 '!#REF!</f>
        <v>#REF!</v>
      </c>
      <c r="F78" s="38"/>
    </row>
    <row r="79" spans="1:6" ht="15.6" hidden="1" x14ac:dyDescent="0.3">
      <c r="A79" s="36"/>
      <c r="B79" s="24">
        <v>1400</v>
      </c>
      <c r="C79" s="24">
        <v>1402</v>
      </c>
      <c r="D79" s="14" t="s">
        <v>175</v>
      </c>
      <c r="E79" s="25"/>
      <c r="F79" s="38"/>
    </row>
    <row r="80" spans="1:6" ht="15.6" hidden="1" x14ac:dyDescent="0.3">
      <c r="A80" s="36"/>
      <c r="B80" s="24">
        <v>1400</v>
      </c>
      <c r="C80" s="24">
        <v>1403</v>
      </c>
      <c r="D80" s="14" t="s">
        <v>176</v>
      </c>
      <c r="E80" s="25"/>
      <c r="F80" s="38"/>
    </row>
    <row r="81" spans="1:6" ht="409.6" hidden="1" customHeight="1" x14ac:dyDescent="0.3">
      <c r="A81" s="31"/>
      <c r="B81" s="3"/>
      <c r="C81" s="3"/>
      <c r="D81" s="14" t="s">
        <v>177</v>
      </c>
      <c r="E81" s="26"/>
      <c r="F81" s="32"/>
    </row>
    <row r="82" spans="1:6" ht="15" customHeight="1" x14ac:dyDescent="0.3">
      <c r="A82" s="31"/>
      <c r="B82" s="35"/>
      <c r="C82" s="348" t="s">
        <v>61</v>
      </c>
      <c r="D82" s="348"/>
      <c r="E82" s="37" t="e">
        <f>E10+E19+E22+E27+E38+E45+E52+E63+E69+E73+E75+E77</f>
        <v>#REF!</v>
      </c>
      <c r="F82" s="32"/>
    </row>
  </sheetData>
  <mergeCells count="21">
    <mergeCell ref="B19:C19"/>
    <mergeCell ref="B52:C52"/>
    <mergeCell ref="D5:E5"/>
    <mergeCell ref="C7:E7"/>
    <mergeCell ref="D1:E1"/>
    <mergeCell ref="D2:E2"/>
    <mergeCell ref="D3:E3"/>
    <mergeCell ref="D4:E4"/>
    <mergeCell ref="B10:C10"/>
    <mergeCell ref="B63:C63"/>
    <mergeCell ref="B55:C55"/>
    <mergeCell ref="B22:C22"/>
    <mergeCell ref="B27:C27"/>
    <mergeCell ref="B38:C38"/>
    <mergeCell ref="B42:C42"/>
    <mergeCell ref="B45:C45"/>
    <mergeCell ref="C82:D82"/>
    <mergeCell ref="B69:C69"/>
    <mergeCell ref="B73:C73"/>
    <mergeCell ref="B75:C75"/>
    <mergeCell ref="B77:C77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3"/>
  <sheetViews>
    <sheetView showGridLines="0" tabSelected="1" view="pageBreakPreview" topLeftCell="G688" zoomScale="85" zoomScaleNormal="100" zoomScaleSheetLayoutView="85" workbookViewId="0">
      <selection activeCell="O12" sqref="O12"/>
    </sheetView>
  </sheetViews>
  <sheetFormatPr defaultColWidth="8.88671875" defaultRowHeight="15.6" x14ac:dyDescent="0.25"/>
  <cols>
    <col min="1" max="1" width="0.109375" style="8" customWidth="1"/>
    <col min="2" max="6" width="0" style="8" hidden="1" customWidth="1"/>
    <col min="7" max="7" width="59.5546875" style="8" customWidth="1"/>
    <col min="8" max="8" width="8.5546875" style="8" customWidth="1"/>
    <col min="9" max="9" width="18.5546875" style="8" customWidth="1"/>
    <col min="10" max="10" width="7.109375" style="8" customWidth="1"/>
    <col min="11" max="11" width="13.109375" style="8" hidden="1" customWidth="1"/>
    <col min="12" max="12" width="11.5546875" style="8" hidden="1" customWidth="1"/>
    <col min="13" max="13" width="12.109375" style="8" hidden="1" customWidth="1"/>
    <col min="14" max="14" width="5.44140625" style="8" hidden="1" customWidth="1"/>
    <col min="15" max="15" width="18.88671875" style="30" customWidth="1"/>
    <col min="16" max="16" width="13.109375" style="267" hidden="1" customWidth="1"/>
    <col min="17" max="17" width="14.88671875" style="8" hidden="1" customWidth="1"/>
    <col min="18" max="242" width="9.109375" style="8" customWidth="1"/>
    <col min="243" max="16384" width="8.88671875" style="8"/>
  </cols>
  <sheetData>
    <row r="1" spans="1:20" ht="27.75" customHeight="1" x14ac:dyDescent="0.3">
      <c r="A1" s="5"/>
      <c r="B1" s="181"/>
      <c r="C1" s="181"/>
      <c r="D1" s="181"/>
      <c r="E1" s="181"/>
      <c r="F1" s="181"/>
      <c r="G1" s="181"/>
      <c r="H1" s="300"/>
      <c r="I1" s="401" t="s">
        <v>747</v>
      </c>
      <c r="J1" s="401"/>
      <c r="K1" s="401"/>
      <c r="L1" s="401"/>
      <c r="M1" s="401"/>
      <c r="N1" s="401"/>
      <c r="O1" s="401"/>
      <c r="P1" s="281"/>
      <c r="Q1" s="281"/>
    </row>
    <row r="2" spans="1:20" ht="41.4" customHeight="1" x14ac:dyDescent="0.3">
      <c r="A2" s="5"/>
      <c r="B2" s="181"/>
      <c r="C2" s="181"/>
      <c r="D2" s="181"/>
      <c r="E2" s="181"/>
      <c r="F2" s="181"/>
      <c r="G2" s="181"/>
      <c r="H2" s="300"/>
      <c r="I2" s="399" t="s">
        <v>746</v>
      </c>
      <c r="J2" s="400"/>
      <c r="K2" s="400"/>
      <c r="L2" s="400"/>
      <c r="M2" s="400"/>
      <c r="N2" s="400"/>
      <c r="O2" s="400"/>
      <c r="P2" s="281"/>
      <c r="Q2" s="281"/>
    </row>
    <row r="3" spans="1:20" ht="109.5" customHeight="1" x14ac:dyDescent="0.3">
      <c r="A3" s="5"/>
      <c r="B3" s="181"/>
      <c r="C3" s="181"/>
      <c r="D3" s="181"/>
      <c r="E3" s="181"/>
      <c r="F3" s="181"/>
      <c r="G3" s="181"/>
      <c r="H3" s="300"/>
      <c r="I3" s="366" t="s">
        <v>748</v>
      </c>
      <c r="J3" s="366"/>
      <c r="K3" s="366"/>
      <c r="L3" s="366"/>
      <c r="M3" s="366"/>
      <c r="N3" s="366"/>
      <c r="O3" s="366"/>
      <c r="P3" s="281"/>
      <c r="Q3" s="281"/>
    </row>
    <row r="4" spans="1:20" ht="89.4" hidden="1" customHeight="1" x14ac:dyDescent="0.3">
      <c r="A4" s="5"/>
      <c r="B4" s="181"/>
      <c r="C4" s="181"/>
      <c r="D4" s="181"/>
      <c r="E4" s="181"/>
      <c r="F4" s="181"/>
      <c r="G4" s="181"/>
      <c r="H4" s="301"/>
      <c r="I4" s="403"/>
      <c r="J4" s="403"/>
      <c r="K4" s="403"/>
      <c r="L4" s="403"/>
      <c r="M4" s="403"/>
      <c r="N4" s="403"/>
      <c r="O4" s="403"/>
      <c r="P4" s="301"/>
      <c r="Q4" s="301"/>
    </row>
    <row r="5" spans="1:20" ht="0.6" hidden="1" customHeight="1" x14ac:dyDescent="0.3">
      <c r="A5" s="5"/>
      <c r="B5" s="181"/>
      <c r="C5" s="181"/>
      <c r="D5" s="181"/>
      <c r="E5" s="181"/>
      <c r="F5" s="181"/>
      <c r="G5" s="181"/>
      <c r="H5" s="181"/>
      <c r="I5" s="404"/>
      <c r="J5" s="404"/>
      <c r="K5" s="404"/>
      <c r="L5" s="404"/>
      <c r="M5" s="404"/>
      <c r="N5" s="232"/>
      <c r="O5" s="22"/>
    </row>
    <row r="6" spans="1:20" ht="14.85" hidden="1" customHeight="1" x14ac:dyDescent="0.25">
      <c r="A6" s="9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3"/>
    </row>
    <row r="7" spans="1:20" ht="51.6" customHeight="1" x14ac:dyDescent="0.25">
      <c r="A7" s="9"/>
      <c r="B7" s="9"/>
      <c r="C7" s="9"/>
      <c r="D7" s="9"/>
      <c r="E7" s="9"/>
      <c r="F7" s="9"/>
      <c r="G7" s="351" t="s">
        <v>666</v>
      </c>
      <c r="H7" s="351"/>
      <c r="I7" s="351"/>
      <c r="J7" s="351"/>
      <c r="K7" s="351"/>
      <c r="L7" s="351"/>
      <c r="M7" s="351"/>
      <c r="N7" s="351"/>
      <c r="O7" s="351"/>
      <c r="P7" s="268"/>
      <c r="Q7" s="21"/>
      <c r="R7" s="21"/>
      <c r="S7" s="21"/>
      <c r="T7" s="21"/>
    </row>
    <row r="8" spans="1:20" ht="6.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3"/>
    </row>
    <row r="9" spans="1:20" ht="14.85" hidden="1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20" ht="14.85" hidden="1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</row>
    <row r="11" spans="1:20" ht="14.85" hidden="1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3"/>
    </row>
    <row r="12" spans="1:20" ht="62.4" customHeight="1" thickBot="1" x14ac:dyDescent="0.35">
      <c r="A12" s="5"/>
      <c r="B12" s="6"/>
      <c r="C12" s="6"/>
      <c r="D12" s="6"/>
      <c r="E12" s="7"/>
      <c r="F12" s="7"/>
      <c r="G12" s="183" t="s">
        <v>59</v>
      </c>
      <c r="H12" s="183" t="s">
        <v>341</v>
      </c>
      <c r="I12" s="183" t="s">
        <v>58</v>
      </c>
      <c r="J12" s="183" t="s">
        <v>575</v>
      </c>
      <c r="K12" s="247" t="s">
        <v>569</v>
      </c>
      <c r="L12" s="184" t="s">
        <v>461</v>
      </c>
      <c r="M12" s="233" t="s">
        <v>462</v>
      </c>
      <c r="N12" s="183" t="s">
        <v>570</v>
      </c>
      <c r="O12" s="248" t="s">
        <v>667</v>
      </c>
      <c r="P12" s="266" t="s">
        <v>576</v>
      </c>
      <c r="Q12" s="264" t="s">
        <v>577</v>
      </c>
    </row>
    <row r="13" spans="1:20" ht="54" customHeight="1" x14ac:dyDescent="0.3">
      <c r="A13" s="5"/>
      <c r="B13" s="69"/>
      <c r="C13" s="69"/>
      <c r="D13" s="69"/>
      <c r="E13" s="70"/>
      <c r="F13" s="70"/>
      <c r="G13" s="110" t="s">
        <v>340</v>
      </c>
      <c r="H13" s="111">
        <v>802</v>
      </c>
      <c r="I13" s="112"/>
      <c r="J13" s="112"/>
      <c r="K13" s="113">
        <f>K14+K24+K41+K136+K29+K117</f>
        <v>55949081</v>
      </c>
      <c r="L13" s="113">
        <f>L14+L24+L41+L136+L29+L117</f>
        <v>450287</v>
      </c>
      <c r="M13" s="234">
        <f>M14+M24+M41+M136+M29+M117</f>
        <v>49240043</v>
      </c>
      <c r="N13" s="113">
        <f>N14+N24+N41+N136+N29+N117</f>
        <v>0</v>
      </c>
      <c r="O13" s="250">
        <f>O24+O29+O41+O117+O142+O19</f>
        <v>73188483</v>
      </c>
      <c r="P13" s="265"/>
      <c r="Q13" s="265"/>
    </row>
    <row r="14" spans="1:20" ht="60.75" hidden="1" customHeight="1" x14ac:dyDescent="0.3">
      <c r="A14" s="5"/>
      <c r="B14" s="69"/>
      <c r="C14" s="69"/>
      <c r="D14" s="69"/>
      <c r="E14" s="70"/>
      <c r="F14" s="70"/>
      <c r="G14" s="114" t="s">
        <v>362</v>
      </c>
      <c r="H14" s="114"/>
      <c r="I14" s="60" t="s">
        <v>215</v>
      </c>
      <c r="J14" s="115"/>
      <c r="K14" s="116">
        <f>K15</f>
        <v>0</v>
      </c>
      <c r="L14" s="116"/>
      <c r="M14" s="235">
        <f>M15</f>
        <v>0</v>
      </c>
      <c r="N14" s="116"/>
      <c r="O14" s="250"/>
      <c r="P14" s="265"/>
      <c r="Q14" s="265"/>
    </row>
    <row r="15" spans="1:20" ht="69" hidden="1" customHeight="1" x14ac:dyDescent="0.3">
      <c r="A15" s="5"/>
      <c r="B15" s="69"/>
      <c r="C15" s="69"/>
      <c r="D15" s="69"/>
      <c r="E15" s="70"/>
      <c r="F15" s="70"/>
      <c r="G15" s="117" t="s">
        <v>363</v>
      </c>
      <c r="H15" s="117"/>
      <c r="I15" s="47" t="s">
        <v>216</v>
      </c>
      <c r="J15" s="118"/>
      <c r="K15" s="119">
        <f>K16</f>
        <v>0</v>
      </c>
      <c r="L15" s="119"/>
      <c r="M15" s="236">
        <f>M16</f>
        <v>0</v>
      </c>
      <c r="N15" s="119"/>
      <c r="O15" s="250"/>
      <c r="P15" s="265"/>
      <c r="Q15" s="265"/>
    </row>
    <row r="16" spans="1:20" ht="54" hidden="1" customHeight="1" x14ac:dyDescent="0.3">
      <c r="A16" s="4"/>
      <c r="B16" s="12"/>
      <c r="C16" s="12"/>
      <c r="D16" s="12"/>
      <c r="E16" s="12"/>
      <c r="F16" s="13"/>
      <c r="G16" s="120" t="s">
        <v>342</v>
      </c>
      <c r="H16" s="120"/>
      <c r="I16" s="64" t="s">
        <v>217</v>
      </c>
      <c r="J16" s="118"/>
      <c r="K16" s="119">
        <f>K17</f>
        <v>0</v>
      </c>
      <c r="L16" s="119"/>
      <c r="M16" s="236">
        <f>M17</f>
        <v>0</v>
      </c>
      <c r="N16" s="119"/>
      <c r="O16" s="251"/>
      <c r="P16" s="265"/>
      <c r="Q16" s="265"/>
    </row>
    <row r="17" spans="1:17" ht="69" hidden="1" customHeight="1" x14ac:dyDescent="0.3">
      <c r="A17" s="4"/>
      <c r="B17" s="12"/>
      <c r="C17" s="12"/>
      <c r="D17" s="12"/>
      <c r="E17" s="12"/>
      <c r="F17" s="13"/>
      <c r="G17" s="117" t="s">
        <v>364</v>
      </c>
      <c r="H17" s="117"/>
      <c r="I17" s="47" t="s">
        <v>218</v>
      </c>
      <c r="J17" s="118"/>
      <c r="K17" s="119">
        <f>K18</f>
        <v>0</v>
      </c>
      <c r="L17" s="119"/>
      <c r="M17" s="236">
        <f>M18</f>
        <v>0</v>
      </c>
      <c r="N17" s="119"/>
      <c r="O17" s="251"/>
      <c r="P17" s="265"/>
      <c r="Q17" s="265"/>
    </row>
    <row r="18" spans="1:17" ht="39.75" hidden="1" customHeight="1" x14ac:dyDescent="0.3">
      <c r="A18" s="4"/>
      <c r="B18" s="12"/>
      <c r="C18" s="12"/>
      <c r="D18" s="12"/>
      <c r="E18" s="12"/>
      <c r="F18" s="13"/>
      <c r="G18" s="117" t="s">
        <v>2</v>
      </c>
      <c r="H18" s="117"/>
      <c r="I18" s="118"/>
      <c r="J18" s="118">
        <v>600</v>
      </c>
      <c r="K18" s="119">
        <v>0</v>
      </c>
      <c r="L18" s="119"/>
      <c r="M18" s="236">
        <v>0</v>
      </c>
      <c r="N18" s="119"/>
      <c r="O18" s="251"/>
      <c r="P18" s="265"/>
      <c r="Q18" s="265"/>
    </row>
    <row r="19" spans="1:17" ht="33.9" customHeight="1" x14ac:dyDescent="0.3">
      <c r="A19" s="4"/>
      <c r="B19" s="317"/>
      <c r="C19" s="317"/>
      <c r="D19" s="317"/>
      <c r="E19" s="317"/>
      <c r="F19" s="318"/>
      <c r="G19" s="329" t="s">
        <v>670</v>
      </c>
      <c r="H19" s="114"/>
      <c r="I19" s="60" t="s">
        <v>221</v>
      </c>
      <c r="J19" s="118"/>
      <c r="K19" s="116">
        <f>K20</f>
        <v>142000</v>
      </c>
      <c r="L19" s="119"/>
      <c r="M19" s="235">
        <f t="shared" ref="M19:O20" si="0">M20</f>
        <v>151000</v>
      </c>
      <c r="N19" s="116">
        <f t="shared" si="0"/>
        <v>0</v>
      </c>
      <c r="O19" s="251">
        <f t="shared" si="0"/>
        <v>80000</v>
      </c>
      <c r="P19" s="265"/>
      <c r="Q19" s="265"/>
    </row>
    <row r="20" spans="1:17" ht="39.75" customHeight="1" x14ac:dyDescent="0.3">
      <c r="A20" s="4"/>
      <c r="B20" s="317"/>
      <c r="C20" s="317"/>
      <c r="D20" s="317"/>
      <c r="E20" s="317"/>
      <c r="F20" s="318"/>
      <c r="G20" s="330" t="s">
        <v>671</v>
      </c>
      <c r="H20" s="117"/>
      <c r="I20" s="47" t="s">
        <v>222</v>
      </c>
      <c r="J20" s="118"/>
      <c r="K20" s="119">
        <f>K21</f>
        <v>142000</v>
      </c>
      <c r="L20" s="119"/>
      <c r="M20" s="236">
        <f t="shared" si="0"/>
        <v>151000</v>
      </c>
      <c r="N20" s="119">
        <f t="shared" si="0"/>
        <v>0</v>
      </c>
      <c r="O20" s="218">
        <f t="shared" si="0"/>
        <v>80000</v>
      </c>
      <c r="P20" s="265"/>
      <c r="Q20" s="265"/>
    </row>
    <row r="21" spans="1:17" ht="39.75" customHeight="1" x14ac:dyDescent="0.3">
      <c r="A21" s="4"/>
      <c r="B21" s="317"/>
      <c r="C21" s="317"/>
      <c r="D21" s="317"/>
      <c r="E21" s="317"/>
      <c r="F21" s="318"/>
      <c r="G21" s="134" t="s">
        <v>224</v>
      </c>
      <c r="H21" s="134"/>
      <c r="I21" s="64" t="s">
        <v>223</v>
      </c>
      <c r="J21" s="132"/>
      <c r="K21" s="133">
        <f>K22+K26</f>
        <v>142000</v>
      </c>
      <c r="L21" s="133"/>
      <c r="M21" s="240">
        <f>M22+M26</f>
        <v>151000</v>
      </c>
      <c r="N21" s="119">
        <f>N22+N26</f>
        <v>0</v>
      </c>
      <c r="O21" s="218">
        <f>O22</f>
        <v>80000</v>
      </c>
      <c r="P21" s="265"/>
      <c r="Q21" s="265"/>
    </row>
    <row r="22" spans="1:17" ht="50.1" customHeight="1" x14ac:dyDescent="0.3">
      <c r="A22" s="4"/>
      <c r="B22" s="317"/>
      <c r="C22" s="317"/>
      <c r="D22" s="317"/>
      <c r="E22" s="317"/>
      <c r="F22" s="318"/>
      <c r="G22" s="331" t="s">
        <v>672</v>
      </c>
      <c r="H22" s="131"/>
      <c r="I22" s="47" t="s">
        <v>225</v>
      </c>
      <c r="J22" s="132"/>
      <c r="K22" s="133">
        <f>K23+K24+K25</f>
        <v>119000</v>
      </c>
      <c r="L22" s="133"/>
      <c r="M22" s="240">
        <f>M23+M24+M25</f>
        <v>127000</v>
      </c>
      <c r="N22" s="119">
        <f>N23+N24+N25</f>
        <v>0</v>
      </c>
      <c r="O22" s="218">
        <f>O23</f>
        <v>80000</v>
      </c>
      <c r="P22" s="265"/>
      <c r="Q22" s="265"/>
    </row>
    <row r="23" spans="1:17" ht="39.75" customHeight="1" x14ac:dyDescent="0.3">
      <c r="A23" s="4"/>
      <c r="B23" s="317"/>
      <c r="C23" s="317"/>
      <c r="D23" s="317"/>
      <c r="E23" s="317"/>
      <c r="F23" s="318"/>
      <c r="G23" s="51" t="s">
        <v>4</v>
      </c>
      <c r="H23" s="51"/>
      <c r="I23" s="79"/>
      <c r="J23" s="48">
        <v>600</v>
      </c>
      <c r="K23" s="119">
        <v>73000</v>
      </c>
      <c r="L23" s="119"/>
      <c r="M23" s="236">
        <v>79000</v>
      </c>
      <c r="N23" s="119"/>
      <c r="O23" s="218">
        <v>80000</v>
      </c>
      <c r="P23" s="265"/>
      <c r="Q23" s="265"/>
    </row>
    <row r="24" spans="1:17" s="108" customFormat="1" ht="83.25" customHeight="1" x14ac:dyDescent="0.3">
      <c r="A24" s="105"/>
      <c r="B24" s="106"/>
      <c r="C24" s="106"/>
      <c r="D24" s="106"/>
      <c r="E24" s="106"/>
      <c r="F24" s="107"/>
      <c r="G24" s="332" t="s">
        <v>673</v>
      </c>
      <c r="H24" s="59"/>
      <c r="I24" s="60" t="s">
        <v>227</v>
      </c>
      <c r="J24" s="61" t="s">
        <v>0</v>
      </c>
      <c r="K24" s="62">
        <f>K25</f>
        <v>23000</v>
      </c>
      <c r="L24" s="62"/>
      <c r="M24" s="237">
        <f t="shared" ref="M24:O27" si="1">M25</f>
        <v>24000</v>
      </c>
      <c r="N24" s="127">
        <f t="shared" si="1"/>
        <v>0</v>
      </c>
      <c r="O24" s="251">
        <f t="shared" si="1"/>
        <v>25000</v>
      </c>
      <c r="P24" s="265"/>
      <c r="Q24" s="265"/>
    </row>
    <row r="25" spans="1:17" s="108" customFormat="1" ht="71.25" customHeight="1" x14ac:dyDescent="0.3">
      <c r="A25" s="105"/>
      <c r="B25" s="106"/>
      <c r="C25" s="106"/>
      <c r="D25" s="106"/>
      <c r="E25" s="106"/>
      <c r="F25" s="107"/>
      <c r="G25" s="14" t="s">
        <v>674</v>
      </c>
      <c r="H25" s="121"/>
      <c r="I25" s="47" t="s">
        <v>352</v>
      </c>
      <c r="J25" s="48" t="s">
        <v>0</v>
      </c>
      <c r="K25" s="49">
        <f>K26</f>
        <v>23000</v>
      </c>
      <c r="L25" s="49"/>
      <c r="M25" s="238">
        <f t="shared" si="1"/>
        <v>24000</v>
      </c>
      <c r="N25" s="49">
        <f t="shared" si="1"/>
        <v>0</v>
      </c>
      <c r="O25" s="218">
        <f t="shared" si="1"/>
        <v>25000</v>
      </c>
      <c r="P25" s="224"/>
      <c r="Q25" s="224"/>
    </row>
    <row r="26" spans="1:17" s="108" customFormat="1" ht="48" customHeight="1" x14ac:dyDescent="0.3">
      <c r="A26" s="105"/>
      <c r="B26" s="106"/>
      <c r="C26" s="106"/>
      <c r="D26" s="106"/>
      <c r="E26" s="106"/>
      <c r="F26" s="107"/>
      <c r="G26" s="63" t="s">
        <v>230</v>
      </c>
      <c r="H26" s="63"/>
      <c r="I26" s="64" t="s">
        <v>354</v>
      </c>
      <c r="J26" s="48"/>
      <c r="K26" s="49">
        <f>K27</f>
        <v>23000</v>
      </c>
      <c r="L26" s="49"/>
      <c r="M26" s="238">
        <f t="shared" si="1"/>
        <v>24000</v>
      </c>
      <c r="N26" s="49">
        <f t="shared" si="1"/>
        <v>0</v>
      </c>
      <c r="O26" s="218">
        <f t="shared" si="1"/>
        <v>25000</v>
      </c>
      <c r="P26" s="224"/>
      <c r="Q26" s="224"/>
    </row>
    <row r="27" spans="1:17" s="108" customFormat="1" ht="80.400000000000006" customHeight="1" x14ac:dyDescent="0.3">
      <c r="A27" s="105"/>
      <c r="B27" s="106"/>
      <c r="C27" s="106"/>
      <c r="D27" s="106"/>
      <c r="E27" s="106"/>
      <c r="F27" s="107"/>
      <c r="G27" s="14" t="s">
        <v>675</v>
      </c>
      <c r="H27" s="51"/>
      <c r="I27" s="47" t="s">
        <v>355</v>
      </c>
      <c r="J27" s="48"/>
      <c r="K27" s="49">
        <f>K28</f>
        <v>23000</v>
      </c>
      <c r="L27" s="49"/>
      <c r="M27" s="238">
        <f t="shared" si="1"/>
        <v>24000</v>
      </c>
      <c r="N27" s="49">
        <f t="shared" si="1"/>
        <v>0</v>
      </c>
      <c r="O27" s="218">
        <f t="shared" si="1"/>
        <v>25000</v>
      </c>
      <c r="P27" s="224"/>
      <c r="Q27" s="224"/>
    </row>
    <row r="28" spans="1:17" s="108" customFormat="1" ht="40.5" customHeight="1" x14ac:dyDescent="0.3">
      <c r="A28" s="105"/>
      <c r="B28" s="106"/>
      <c r="C28" s="106"/>
      <c r="D28" s="106"/>
      <c r="E28" s="106"/>
      <c r="F28" s="107"/>
      <c r="G28" s="51" t="s">
        <v>4</v>
      </c>
      <c r="H28" s="51"/>
      <c r="I28" s="79"/>
      <c r="J28" s="48">
        <v>600</v>
      </c>
      <c r="K28" s="49">
        <v>23000</v>
      </c>
      <c r="L28" s="49"/>
      <c r="M28" s="238">
        <v>24000</v>
      </c>
      <c r="N28" s="49"/>
      <c r="O28" s="218">
        <v>25000</v>
      </c>
      <c r="P28" s="224"/>
      <c r="Q28" s="224"/>
    </row>
    <row r="29" spans="1:17" s="108" customFormat="1" ht="66.900000000000006" customHeight="1" x14ac:dyDescent="0.3">
      <c r="A29" s="105"/>
      <c r="B29" s="106"/>
      <c r="C29" s="106"/>
      <c r="D29" s="106"/>
      <c r="E29" s="106"/>
      <c r="F29" s="107"/>
      <c r="G29" s="2" t="s">
        <v>676</v>
      </c>
      <c r="H29" s="51"/>
      <c r="I29" s="60" t="s">
        <v>420</v>
      </c>
      <c r="J29" s="48"/>
      <c r="K29" s="127">
        <f t="shared" ref="K29:O30" si="2">K30</f>
        <v>65000</v>
      </c>
      <c r="L29" s="49">
        <f t="shared" si="2"/>
        <v>0</v>
      </c>
      <c r="M29" s="238">
        <f t="shared" si="2"/>
        <v>65000</v>
      </c>
      <c r="N29" s="49">
        <f t="shared" si="2"/>
        <v>0</v>
      </c>
      <c r="O29" s="251">
        <f t="shared" si="2"/>
        <v>129655</v>
      </c>
      <c r="P29" s="224"/>
      <c r="Q29" s="224"/>
    </row>
    <row r="30" spans="1:17" s="108" customFormat="1" ht="80.25" customHeight="1" x14ac:dyDescent="0.3">
      <c r="A30" s="105"/>
      <c r="B30" s="106"/>
      <c r="C30" s="106"/>
      <c r="D30" s="106"/>
      <c r="E30" s="106"/>
      <c r="F30" s="107"/>
      <c r="G30" s="14" t="s">
        <v>677</v>
      </c>
      <c r="H30" s="51"/>
      <c r="I30" s="47" t="s">
        <v>421</v>
      </c>
      <c r="J30" s="48"/>
      <c r="K30" s="49">
        <f t="shared" si="2"/>
        <v>65000</v>
      </c>
      <c r="L30" s="49">
        <f t="shared" si="2"/>
        <v>0</v>
      </c>
      <c r="M30" s="238">
        <f t="shared" si="2"/>
        <v>65000</v>
      </c>
      <c r="N30" s="49">
        <f t="shared" si="2"/>
        <v>0</v>
      </c>
      <c r="O30" s="218">
        <f t="shared" si="2"/>
        <v>129655</v>
      </c>
      <c r="P30" s="224"/>
      <c r="Q30" s="224"/>
    </row>
    <row r="31" spans="1:17" s="108" customFormat="1" ht="56.25" customHeight="1" x14ac:dyDescent="0.3">
      <c r="A31" s="105"/>
      <c r="B31" s="106"/>
      <c r="C31" s="106"/>
      <c r="D31" s="106"/>
      <c r="E31" s="106"/>
      <c r="F31" s="107"/>
      <c r="G31" s="63" t="s">
        <v>450</v>
      </c>
      <c r="H31" s="51"/>
      <c r="I31" s="64" t="s">
        <v>422</v>
      </c>
      <c r="J31" s="48"/>
      <c r="K31" s="49">
        <f>K32+K35</f>
        <v>65000</v>
      </c>
      <c r="L31" s="49">
        <f>L32+L35</f>
        <v>0</v>
      </c>
      <c r="M31" s="238">
        <f>M32+M35</f>
        <v>65000</v>
      </c>
      <c r="N31" s="49">
        <f>N32+N35</f>
        <v>0</v>
      </c>
      <c r="O31" s="218">
        <f>O32+O35+O38</f>
        <v>129655</v>
      </c>
      <c r="P31" s="224"/>
      <c r="Q31" s="224"/>
    </row>
    <row r="32" spans="1:17" s="108" customFormat="1" ht="100.5" customHeight="1" x14ac:dyDescent="0.3">
      <c r="A32" s="105"/>
      <c r="B32" s="106"/>
      <c r="C32" s="106"/>
      <c r="D32" s="106"/>
      <c r="E32" s="106"/>
      <c r="F32" s="107"/>
      <c r="G32" s="14" t="s">
        <v>678</v>
      </c>
      <c r="H32" s="51"/>
      <c r="I32" s="47" t="s">
        <v>423</v>
      </c>
      <c r="J32" s="48"/>
      <c r="K32" s="49">
        <f>K33+K34</f>
        <v>65000</v>
      </c>
      <c r="L32" s="49">
        <f>L33+L34</f>
        <v>0</v>
      </c>
      <c r="M32" s="238">
        <f>M33+M34</f>
        <v>65000</v>
      </c>
      <c r="N32" s="49">
        <f>N33+N34</f>
        <v>0</v>
      </c>
      <c r="O32" s="218">
        <f>O33+O34</f>
        <v>65000</v>
      </c>
      <c r="P32" s="224"/>
      <c r="Q32" s="224"/>
    </row>
    <row r="33" spans="1:17" s="108" customFormat="1" ht="33" customHeight="1" x14ac:dyDescent="0.3">
      <c r="A33" s="105"/>
      <c r="B33" s="106"/>
      <c r="C33" s="106"/>
      <c r="D33" s="106"/>
      <c r="E33" s="106"/>
      <c r="F33" s="107"/>
      <c r="G33" s="51" t="s">
        <v>2</v>
      </c>
      <c r="H33" s="51"/>
      <c r="I33" s="47"/>
      <c r="J33" s="48">
        <v>200</v>
      </c>
      <c r="K33" s="49">
        <v>55000</v>
      </c>
      <c r="L33" s="49"/>
      <c r="M33" s="238">
        <f>K33+L33</f>
        <v>55000</v>
      </c>
      <c r="N33" s="49"/>
      <c r="O33" s="49">
        <v>55000</v>
      </c>
      <c r="P33" s="224"/>
      <c r="Q33" s="224"/>
    </row>
    <row r="34" spans="1:17" s="108" customFormat="1" ht="46.5" customHeight="1" x14ac:dyDescent="0.3">
      <c r="A34" s="105"/>
      <c r="B34" s="106"/>
      <c r="C34" s="106"/>
      <c r="D34" s="106"/>
      <c r="E34" s="106"/>
      <c r="F34" s="107"/>
      <c r="G34" s="51" t="s">
        <v>4</v>
      </c>
      <c r="H34" s="51"/>
      <c r="I34" s="79"/>
      <c r="J34" s="48">
        <v>600</v>
      </c>
      <c r="K34" s="49">
        <v>10000</v>
      </c>
      <c r="L34" s="49"/>
      <c r="M34" s="238">
        <f>K34+L34</f>
        <v>10000</v>
      </c>
      <c r="N34" s="49"/>
      <c r="O34" s="218">
        <v>10000</v>
      </c>
      <c r="P34" s="224"/>
      <c r="Q34" s="224"/>
    </row>
    <row r="35" spans="1:17" s="108" customFormat="1" ht="46.35" hidden="1" customHeight="1" x14ac:dyDescent="0.3">
      <c r="A35" s="105"/>
      <c r="B35" s="106"/>
      <c r="C35" s="106"/>
      <c r="D35" s="106"/>
      <c r="E35" s="106"/>
      <c r="F35" s="107"/>
      <c r="G35" s="51" t="s">
        <v>482</v>
      </c>
      <c r="H35" s="51"/>
      <c r="I35" s="47" t="s">
        <v>483</v>
      </c>
      <c r="J35" s="48"/>
      <c r="K35" s="49">
        <f>K36+K37</f>
        <v>0</v>
      </c>
      <c r="L35" s="49">
        <f>L36+L37</f>
        <v>0</v>
      </c>
      <c r="M35" s="238">
        <f>M36+M37</f>
        <v>0</v>
      </c>
      <c r="N35" s="49"/>
      <c r="O35" s="251"/>
      <c r="P35" s="224"/>
      <c r="Q35" s="224"/>
    </row>
    <row r="36" spans="1:17" s="108" customFormat="1" ht="34.35" hidden="1" customHeight="1" x14ac:dyDescent="0.3">
      <c r="A36" s="105"/>
      <c r="B36" s="106"/>
      <c r="C36" s="106"/>
      <c r="D36" s="106"/>
      <c r="E36" s="106"/>
      <c r="F36" s="107"/>
      <c r="G36" s="51" t="s">
        <v>2</v>
      </c>
      <c r="H36" s="51"/>
      <c r="I36" s="47"/>
      <c r="J36" s="48">
        <v>200</v>
      </c>
      <c r="K36" s="49"/>
      <c r="L36" s="49"/>
      <c r="M36" s="238">
        <f>K36+L36</f>
        <v>0</v>
      </c>
      <c r="N36" s="49"/>
      <c r="O36" s="251"/>
      <c r="P36" s="224"/>
      <c r="Q36" s="224"/>
    </row>
    <row r="37" spans="1:17" s="108" customFormat="1" ht="34.5" hidden="1" customHeight="1" x14ac:dyDescent="0.3">
      <c r="A37" s="105"/>
      <c r="B37" s="106"/>
      <c r="C37" s="106"/>
      <c r="D37" s="106"/>
      <c r="E37" s="106"/>
      <c r="F37" s="107"/>
      <c r="G37" s="51" t="s">
        <v>4</v>
      </c>
      <c r="H37" s="51"/>
      <c r="I37" s="79"/>
      <c r="J37" s="48">
        <v>600</v>
      </c>
      <c r="K37" s="49"/>
      <c r="L37" s="49"/>
      <c r="M37" s="238">
        <f>K37+L37</f>
        <v>0</v>
      </c>
      <c r="N37" s="49"/>
      <c r="O37" s="251"/>
      <c r="P37" s="224"/>
      <c r="Q37" s="224"/>
    </row>
    <row r="38" spans="1:17" s="108" customFormat="1" ht="41.25" customHeight="1" x14ac:dyDescent="0.3">
      <c r="A38" s="105"/>
      <c r="B38" s="106"/>
      <c r="C38" s="106"/>
      <c r="D38" s="106"/>
      <c r="E38" s="106"/>
      <c r="F38" s="107"/>
      <c r="G38" s="14" t="s">
        <v>482</v>
      </c>
      <c r="H38" s="51"/>
      <c r="I38" s="3" t="s">
        <v>483</v>
      </c>
      <c r="J38" s="48"/>
      <c r="K38" s="49"/>
      <c r="L38" s="49"/>
      <c r="M38" s="238"/>
      <c r="N38" s="49"/>
      <c r="O38" s="218">
        <f>O40+O39</f>
        <v>64655</v>
      </c>
      <c r="P38" s="224"/>
      <c r="Q38" s="224"/>
    </row>
    <row r="39" spans="1:17" s="108" customFormat="1" ht="41.25" customHeight="1" x14ac:dyDescent="0.3">
      <c r="A39" s="105"/>
      <c r="B39" s="106"/>
      <c r="C39" s="106"/>
      <c r="D39" s="106"/>
      <c r="E39" s="106"/>
      <c r="F39" s="107"/>
      <c r="G39" s="51" t="s">
        <v>2</v>
      </c>
      <c r="H39" s="51"/>
      <c r="I39" s="79"/>
      <c r="J39" s="48">
        <v>200</v>
      </c>
      <c r="K39" s="49"/>
      <c r="L39" s="49"/>
      <c r="M39" s="238"/>
      <c r="N39" s="49"/>
      <c r="O39" s="218">
        <v>44655</v>
      </c>
      <c r="P39" s="224"/>
      <c r="Q39" s="224"/>
    </row>
    <row r="40" spans="1:17" s="108" customFormat="1" ht="34.5" customHeight="1" x14ac:dyDescent="0.3">
      <c r="A40" s="105"/>
      <c r="B40" s="106"/>
      <c r="C40" s="106"/>
      <c r="D40" s="106"/>
      <c r="E40" s="106"/>
      <c r="F40" s="107"/>
      <c r="G40" s="51" t="s">
        <v>4</v>
      </c>
      <c r="H40" s="344"/>
      <c r="I40" s="344"/>
      <c r="J40" s="345">
        <v>600</v>
      </c>
      <c r="K40" s="49"/>
      <c r="L40" s="49"/>
      <c r="M40" s="238"/>
      <c r="N40" s="49"/>
      <c r="O40" s="218">
        <v>20000</v>
      </c>
      <c r="P40" s="224"/>
      <c r="Q40" s="224"/>
    </row>
    <row r="41" spans="1:17" ht="53.1" customHeight="1" x14ac:dyDescent="0.3">
      <c r="A41" s="4"/>
      <c r="B41" s="12"/>
      <c r="C41" s="12"/>
      <c r="D41" s="12"/>
      <c r="E41" s="12"/>
      <c r="F41" s="13"/>
      <c r="G41" s="2" t="s">
        <v>679</v>
      </c>
      <c r="H41" s="112"/>
      <c r="I41" s="60" t="s">
        <v>238</v>
      </c>
      <c r="J41" s="112"/>
      <c r="K41" s="113">
        <f t="shared" ref="K41:N41" si="3">K42+K67+K72</f>
        <v>53971563</v>
      </c>
      <c r="L41" s="113">
        <f t="shared" si="3"/>
        <v>450287</v>
      </c>
      <c r="M41" s="234">
        <f t="shared" si="3"/>
        <v>47490543</v>
      </c>
      <c r="N41" s="113">
        <f t="shared" si="3"/>
        <v>0</v>
      </c>
      <c r="O41" s="251">
        <f>O42+O67+O72+O110</f>
        <v>70406651</v>
      </c>
      <c r="P41" s="265"/>
      <c r="Q41" s="265"/>
    </row>
    <row r="42" spans="1:17" ht="60" customHeight="1" x14ac:dyDescent="0.3">
      <c r="A42" s="4"/>
      <c r="B42" s="12"/>
      <c r="C42" s="12"/>
      <c r="D42" s="12"/>
      <c r="E42" s="12"/>
      <c r="F42" s="13"/>
      <c r="G42" s="2" t="s">
        <v>680</v>
      </c>
      <c r="H42" s="121"/>
      <c r="I42" s="47" t="s">
        <v>239</v>
      </c>
      <c r="J42" s="48" t="s">
        <v>0</v>
      </c>
      <c r="K42" s="49">
        <f>K43+K60+K86+K105</f>
        <v>53971563</v>
      </c>
      <c r="L42" s="49">
        <f>L43+L60+L86</f>
        <v>450287</v>
      </c>
      <c r="M42" s="238">
        <f>M43+M60+M86</f>
        <v>47490543</v>
      </c>
      <c r="N42" s="49">
        <f>N43+N60+N86+N105</f>
        <v>0</v>
      </c>
      <c r="O42" s="218">
        <f>O43+O60+O86+O105+O102+O97+O114</f>
        <v>70406651</v>
      </c>
      <c r="P42" s="224"/>
      <c r="Q42" s="224"/>
    </row>
    <row r="43" spans="1:17" ht="54.75" customHeight="1" x14ac:dyDescent="0.3">
      <c r="A43" s="4"/>
      <c r="B43" s="10"/>
      <c r="C43" s="10"/>
      <c r="D43" s="10"/>
      <c r="E43" s="10"/>
      <c r="F43" s="11"/>
      <c r="G43" s="63" t="s">
        <v>246</v>
      </c>
      <c r="H43" s="63"/>
      <c r="I43" s="64" t="s">
        <v>240</v>
      </c>
      <c r="J43" s="48"/>
      <c r="K43" s="49">
        <f t="shared" ref="K43:N43" si="4">K44+K46+K48+K52+K54+K58+K80+K78+K82+K84</f>
        <v>51919814</v>
      </c>
      <c r="L43" s="49">
        <f t="shared" si="4"/>
        <v>155557</v>
      </c>
      <c r="M43" s="238">
        <f t="shared" si="4"/>
        <v>47195813</v>
      </c>
      <c r="N43" s="49">
        <f t="shared" si="4"/>
        <v>-394348</v>
      </c>
      <c r="O43" s="218">
        <f>O44+O46+O48+O52+O54+O58+O80+O78+O82+O84+O95+O91+O93+O89</f>
        <v>69044591</v>
      </c>
      <c r="P43" s="224"/>
      <c r="Q43" s="224"/>
    </row>
    <row r="44" spans="1:17" ht="55.5" customHeight="1" x14ac:dyDescent="0.3">
      <c r="A44" s="4"/>
      <c r="B44" s="10"/>
      <c r="C44" s="10"/>
      <c r="D44" s="10"/>
      <c r="E44" s="10"/>
      <c r="F44" s="11"/>
      <c r="G44" s="51" t="s">
        <v>65</v>
      </c>
      <c r="H44" s="51"/>
      <c r="I44" s="47" t="s">
        <v>241</v>
      </c>
      <c r="J44" s="48" t="s">
        <v>0</v>
      </c>
      <c r="K44" s="49">
        <f>K45</f>
        <v>3614235</v>
      </c>
      <c r="L44" s="49"/>
      <c r="M44" s="238">
        <f>M45</f>
        <v>3005700</v>
      </c>
      <c r="N44" s="49">
        <f>N45</f>
        <v>0</v>
      </c>
      <c r="O44" s="218">
        <f>O45</f>
        <v>4276950</v>
      </c>
      <c r="P44" s="224"/>
      <c r="Q44" s="224"/>
    </row>
    <row r="45" spans="1:17" ht="45.75" customHeight="1" x14ac:dyDescent="0.3">
      <c r="A45" s="4"/>
      <c r="B45" s="10"/>
      <c r="C45" s="10"/>
      <c r="D45" s="10"/>
      <c r="E45" s="10"/>
      <c r="F45" s="11"/>
      <c r="G45" s="51" t="s">
        <v>4</v>
      </c>
      <c r="H45" s="51"/>
      <c r="I45" s="52"/>
      <c r="J45" s="48">
        <v>600</v>
      </c>
      <c r="K45" s="49">
        <v>3614235</v>
      </c>
      <c r="L45" s="49"/>
      <c r="M45" s="238">
        <v>3005700</v>
      </c>
      <c r="N45" s="49"/>
      <c r="O45" s="271">
        <v>4276950</v>
      </c>
      <c r="P45" s="224"/>
      <c r="Q45" s="224"/>
    </row>
    <row r="46" spans="1:17" ht="54.75" customHeight="1" x14ac:dyDescent="0.3">
      <c r="A46" s="4"/>
      <c r="B46" s="10"/>
      <c r="C46" s="10"/>
      <c r="D46" s="10"/>
      <c r="E46" s="10"/>
      <c r="F46" s="11"/>
      <c r="G46" s="51" t="s">
        <v>66</v>
      </c>
      <c r="H46" s="51"/>
      <c r="I46" s="47" t="s">
        <v>242</v>
      </c>
      <c r="J46" s="48"/>
      <c r="K46" s="49">
        <f>K47</f>
        <v>2221100</v>
      </c>
      <c r="L46" s="49"/>
      <c r="M46" s="238">
        <f>M47</f>
        <v>1448700</v>
      </c>
      <c r="N46" s="49">
        <f>N47</f>
        <v>0</v>
      </c>
      <c r="O46" s="218">
        <f>O47</f>
        <v>2150300</v>
      </c>
      <c r="P46" s="224"/>
      <c r="Q46" s="224"/>
    </row>
    <row r="47" spans="1:17" ht="53.4" customHeight="1" x14ac:dyDescent="0.3">
      <c r="A47" s="4"/>
      <c r="B47" s="10"/>
      <c r="C47" s="10"/>
      <c r="D47" s="10"/>
      <c r="E47" s="10"/>
      <c r="F47" s="11"/>
      <c r="G47" s="51" t="s">
        <v>4</v>
      </c>
      <c r="H47" s="51"/>
      <c r="I47" s="52"/>
      <c r="J47" s="48">
        <v>600</v>
      </c>
      <c r="K47" s="49">
        <v>2221100</v>
      </c>
      <c r="L47" s="49"/>
      <c r="M47" s="238">
        <v>1448700</v>
      </c>
      <c r="N47" s="49"/>
      <c r="O47" s="271">
        <v>2150300</v>
      </c>
      <c r="P47" s="224"/>
      <c r="Q47" s="224"/>
    </row>
    <row r="48" spans="1:17" ht="41.25" customHeight="1" x14ac:dyDescent="0.3">
      <c r="A48" s="4"/>
      <c r="B48" s="10"/>
      <c r="C48" s="10"/>
      <c r="D48" s="10"/>
      <c r="E48" s="10"/>
      <c r="F48" s="11"/>
      <c r="G48" s="51" t="s">
        <v>33</v>
      </c>
      <c r="H48" s="51"/>
      <c r="I48" s="47" t="s">
        <v>243</v>
      </c>
      <c r="J48" s="48"/>
      <c r="K48" s="49">
        <f>K49+K51</f>
        <v>20620112</v>
      </c>
      <c r="L48" s="49">
        <f>L49</f>
        <v>0</v>
      </c>
      <c r="M48" s="238">
        <f>M49+M50</f>
        <v>19960100</v>
      </c>
      <c r="N48" s="49">
        <f>N49+N51</f>
        <v>-394348</v>
      </c>
      <c r="O48" s="218">
        <f>O49+O51</f>
        <v>28147640</v>
      </c>
      <c r="P48" s="224"/>
      <c r="Q48" s="224"/>
    </row>
    <row r="49" spans="1:17" ht="51.6" customHeight="1" x14ac:dyDescent="0.3">
      <c r="A49" s="4"/>
      <c r="B49" s="358" t="s">
        <v>57</v>
      </c>
      <c r="C49" s="358"/>
      <c r="D49" s="358"/>
      <c r="E49" s="358"/>
      <c r="F49" s="359"/>
      <c r="G49" s="51" t="s">
        <v>4</v>
      </c>
      <c r="H49" s="51"/>
      <c r="I49" s="47"/>
      <c r="J49" s="48">
        <v>600</v>
      </c>
      <c r="K49" s="49">
        <v>19960100</v>
      </c>
      <c r="L49" s="49"/>
      <c r="M49" s="238">
        <f>K49+L49</f>
        <v>19960100</v>
      </c>
      <c r="N49" s="49"/>
      <c r="O49" s="271">
        <v>24509700</v>
      </c>
      <c r="P49" s="224"/>
      <c r="Q49" s="224"/>
    </row>
    <row r="50" spans="1:17" ht="22.5" hidden="1" customHeight="1" x14ac:dyDescent="0.3">
      <c r="A50" s="4"/>
      <c r="B50" s="358" t="s">
        <v>56</v>
      </c>
      <c r="C50" s="358"/>
      <c r="D50" s="358"/>
      <c r="E50" s="358"/>
      <c r="F50" s="359"/>
      <c r="G50" s="51" t="s">
        <v>1</v>
      </c>
      <c r="H50" s="51"/>
      <c r="I50" s="47"/>
      <c r="J50" s="48">
        <v>800</v>
      </c>
      <c r="K50" s="49">
        <v>0</v>
      </c>
      <c r="L50" s="49"/>
      <c r="M50" s="238">
        <v>0</v>
      </c>
      <c r="N50" s="49"/>
      <c r="O50" s="218"/>
      <c r="P50" s="224"/>
      <c r="Q50" s="224"/>
    </row>
    <row r="51" spans="1:17" ht="22.5" customHeight="1" x14ac:dyDescent="0.3">
      <c r="A51" s="4"/>
      <c r="B51" s="17"/>
      <c r="C51" s="17"/>
      <c r="D51" s="17"/>
      <c r="E51" s="17"/>
      <c r="F51" s="18"/>
      <c r="G51" s="51" t="s">
        <v>1</v>
      </c>
      <c r="H51" s="51"/>
      <c r="I51" s="47"/>
      <c r="J51" s="48">
        <v>800</v>
      </c>
      <c r="K51" s="49">
        <v>660012</v>
      </c>
      <c r="L51" s="49"/>
      <c r="M51" s="238"/>
      <c r="N51" s="49">
        <v>-394348</v>
      </c>
      <c r="O51" s="218">
        <f>5000000-1362060</f>
        <v>3637940</v>
      </c>
      <c r="P51" s="224"/>
      <c r="Q51" s="224"/>
    </row>
    <row r="52" spans="1:17" ht="50.4" customHeight="1" x14ac:dyDescent="0.3">
      <c r="A52" s="4"/>
      <c r="B52" s="358" t="s">
        <v>55</v>
      </c>
      <c r="C52" s="358"/>
      <c r="D52" s="358"/>
      <c r="E52" s="358"/>
      <c r="F52" s="359"/>
      <c r="G52" s="51" t="s">
        <v>67</v>
      </c>
      <c r="H52" s="51"/>
      <c r="I52" s="47" t="s">
        <v>388</v>
      </c>
      <c r="J52" s="48"/>
      <c r="K52" s="49">
        <f>K53</f>
        <v>8811500</v>
      </c>
      <c r="L52" s="49"/>
      <c r="M52" s="238">
        <f>M53</f>
        <v>7714400</v>
      </c>
      <c r="N52" s="49">
        <f>N53</f>
        <v>0</v>
      </c>
      <c r="O52" s="218">
        <f>O53</f>
        <v>11065000</v>
      </c>
      <c r="P52" s="224"/>
      <c r="Q52" s="224"/>
    </row>
    <row r="53" spans="1:17" ht="51.6" customHeight="1" x14ac:dyDescent="0.3">
      <c r="A53" s="4"/>
      <c r="B53" s="353">
        <v>500</v>
      </c>
      <c r="C53" s="353"/>
      <c r="D53" s="353"/>
      <c r="E53" s="353"/>
      <c r="F53" s="354"/>
      <c r="G53" s="51" t="s">
        <v>4</v>
      </c>
      <c r="H53" s="51"/>
      <c r="I53" s="52"/>
      <c r="J53" s="48">
        <v>600</v>
      </c>
      <c r="K53" s="49">
        <v>8811500</v>
      </c>
      <c r="L53" s="49"/>
      <c r="M53" s="238">
        <v>7714400</v>
      </c>
      <c r="N53" s="49"/>
      <c r="O53" s="271">
        <v>11065000</v>
      </c>
      <c r="P53" s="224"/>
      <c r="Q53" s="224"/>
    </row>
    <row r="54" spans="1:17" ht="21.6" customHeight="1" x14ac:dyDescent="0.3">
      <c r="A54" s="4"/>
      <c r="B54" s="17"/>
      <c r="C54" s="17"/>
      <c r="D54" s="17"/>
      <c r="E54" s="17"/>
      <c r="F54" s="18"/>
      <c r="G54" s="51" t="s">
        <v>68</v>
      </c>
      <c r="H54" s="51"/>
      <c r="I54" s="47" t="s">
        <v>244</v>
      </c>
      <c r="J54" s="48"/>
      <c r="K54" s="49">
        <f>K55+K56+K57</f>
        <v>7540000</v>
      </c>
      <c r="L54" s="49"/>
      <c r="M54" s="238">
        <f>M55+M56+M57</f>
        <v>6583300</v>
      </c>
      <c r="N54" s="49">
        <f>N55+N56+N57</f>
        <v>0</v>
      </c>
      <c r="O54" s="218">
        <f>O55+O56+O57</f>
        <v>9290000</v>
      </c>
      <c r="P54" s="224"/>
      <c r="Q54" s="224"/>
    </row>
    <row r="55" spans="1:17" ht="66.900000000000006" customHeight="1" x14ac:dyDescent="0.3">
      <c r="A55" s="4"/>
      <c r="B55" s="17"/>
      <c r="C55" s="17"/>
      <c r="D55" s="17"/>
      <c r="E55" s="17"/>
      <c r="F55" s="18"/>
      <c r="G55" s="51" t="s">
        <v>3</v>
      </c>
      <c r="H55" s="51"/>
      <c r="I55" s="47" t="s">
        <v>0</v>
      </c>
      <c r="J55" s="48">
        <v>100</v>
      </c>
      <c r="K55" s="49">
        <v>6803100</v>
      </c>
      <c r="L55" s="49"/>
      <c r="M55" s="238">
        <v>5958300</v>
      </c>
      <c r="N55" s="49"/>
      <c r="O55" s="271">
        <f>6621000+1890000</f>
        <v>8511000</v>
      </c>
      <c r="P55" s="224"/>
      <c r="Q55" s="224"/>
    </row>
    <row r="56" spans="1:17" ht="38.25" customHeight="1" x14ac:dyDescent="0.3">
      <c r="A56" s="4"/>
      <c r="B56" s="358" t="s">
        <v>54</v>
      </c>
      <c r="C56" s="358"/>
      <c r="D56" s="358"/>
      <c r="E56" s="358"/>
      <c r="F56" s="359"/>
      <c r="G56" s="51" t="s">
        <v>2</v>
      </c>
      <c r="H56" s="51"/>
      <c r="I56" s="47"/>
      <c r="J56" s="48">
        <v>200</v>
      </c>
      <c r="K56" s="49">
        <v>705900</v>
      </c>
      <c r="L56" s="49"/>
      <c r="M56" s="238">
        <v>592000</v>
      </c>
      <c r="N56" s="49"/>
      <c r="O56" s="271">
        <v>753000</v>
      </c>
      <c r="P56" s="224"/>
      <c r="Q56" s="224"/>
    </row>
    <row r="57" spans="1:17" ht="20.25" customHeight="1" x14ac:dyDescent="0.3">
      <c r="A57" s="4"/>
      <c r="B57" s="17"/>
      <c r="C57" s="17"/>
      <c r="D57" s="17"/>
      <c r="E57" s="17"/>
      <c r="F57" s="18"/>
      <c r="G57" s="51" t="s">
        <v>1</v>
      </c>
      <c r="H57" s="51"/>
      <c r="I57" s="47" t="s">
        <v>0</v>
      </c>
      <c r="J57" s="48">
        <v>800</v>
      </c>
      <c r="K57" s="49">
        <v>31000</v>
      </c>
      <c r="L57" s="49"/>
      <c r="M57" s="238">
        <v>33000</v>
      </c>
      <c r="N57" s="49"/>
      <c r="O57" s="271">
        <v>26000</v>
      </c>
      <c r="P57" s="224"/>
      <c r="Q57" s="224"/>
    </row>
    <row r="58" spans="1:17" ht="20.25" hidden="1" customHeight="1" x14ac:dyDescent="0.3">
      <c r="A58" s="4"/>
      <c r="B58" s="17"/>
      <c r="C58" s="17"/>
      <c r="D58" s="17"/>
      <c r="E58" s="17"/>
      <c r="F58" s="18"/>
      <c r="G58" s="51" t="s">
        <v>96</v>
      </c>
      <c r="H58" s="51"/>
      <c r="I58" s="47" t="s">
        <v>245</v>
      </c>
      <c r="J58" s="122"/>
      <c r="K58" s="49">
        <f>K59</f>
        <v>0</v>
      </c>
      <c r="L58" s="127"/>
      <c r="M58" s="238">
        <f>M59</f>
        <v>0</v>
      </c>
      <c r="N58" s="49"/>
      <c r="O58" s="218"/>
      <c r="P58" s="224"/>
      <c r="Q58" s="224"/>
    </row>
    <row r="59" spans="1:17" ht="40.5" hidden="1" customHeight="1" x14ac:dyDescent="0.3">
      <c r="A59" s="4"/>
      <c r="B59" s="17"/>
      <c r="C59" s="17"/>
      <c r="D59" s="17"/>
      <c r="E59" s="17"/>
      <c r="F59" s="18"/>
      <c r="G59" s="51" t="s">
        <v>4</v>
      </c>
      <c r="H59" s="51"/>
      <c r="I59" s="52"/>
      <c r="J59" s="48">
        <v>600</v>
      </c>
      <c r="K59" s="49">
        <v>0</v>
      </c>
      <c r="L59" s="49"/>
      <c r="M59" s="238">
        <v>0</v>
      </c>
      <c r="N59" s="49"/>
      <c r="O59" s="218"/>
      <c r="P59" s="224"/>
      <c r="Q59" s="224"/>
    </row>
    <row r="60" spans="1:17" ht="48.6" hidden="1" customHeight="1" x14ac:dyDescent="0.3">
      <c r="A60" s="4"/>
      <c r="B60" s="354">
        <v>500</v>
      </c>
      <c r="C60" s="364"/>
      <c r="D60" s="364"/>
      <c r="E60" s="364"/>
      <c r="F60" s="365"/>
      <c r="G60" s="63" t="s">
        <v>389</v>
      </c>
      <c r="H60" s="63"/>
      <c r="I60" s="123" t="s">
        <v>335</v>
      </c>
      <c r="J60" s="48"/>
      <c r="K60" s="49">
        <f>K63+K65+K61</f>
        <v>0</v>
      </c>
      <c r="L60" s="49"/>
      <c r="M60" s="238">
        <f>M63+M65+M61</f>
        <v>0</v>
      </c>
      <c r="N60" s="49"/>
      <c r="O60" s="218"/>
      <c r="P60" s="224"/>
      <c r="Q60" s="224"/>
    </row>
    <row r="61" spans="1:17" ht="52.5" hidden="1" customHeight="1" x14ac:dyDescent="0.3">
      <c r="A61" s="4"/>
      <c r="B61" s="17"/>
      <c r="C61" s="17"/>
      <c r="D61" s="17"/>
      <c r="E61" s="17"/>
      <c r="F61" s="18"/>
      <c r="G61" s="51" t="s">
        <v>386</v>
      </c>
      <c r="H61" s="63"/>
      <c r="I61" s="52" t="s">
        <v>387</v>
      </c>
      <c r="J61" s="48"/>
      <c r="K61" s="49">
        <f>K62</f>
        <v>0</v>
      </c>
      <c r="L61" s="49"/>
      <c r="M61" s="238">
        <f>M62</f>
        <v>0</v>
      </c>
      <c r="N61" s="49"/>
      <c r="O61" s="218"/>
      <c r="P61" s="224"/>
      <c r="Q61" s="224"/>
    </row>
    <row r="62" spans="1:17" ht="37.35" hidden="1" customHeight="1" x14ac:dyDescent="0.3">
      <c r="A62" s="4"/>
      <c r="B62" s="17"/>
      <c r="C62" s="17"/>
      <c r="D62" s="17"/>
      <c r="E62" s="17"/>
      <c r="F62" s="18"/>
      <c r="G62" s="51" t="s">
        <v>4</v>
      </c>
      <c r="H62" s="63"/>
      <c r="I62" s="52"/>
      <c r="J62" s="48">
        <v>600</v>
      </c>
      <c r="K62" s="49">
        <v>0</v>
      </c>
      <c r="L62" s="49"/>
      <c r="M62" s="238">
        <v>0</v>
      </c>
      <c r="N62" s="49"/>
      <c r="O62" s="218"/>
      <c r="P62" s="224"/>
      <c r="Q62" s="224"/>
    </row>
    <row r="63" spans="1:17" ht="37.5" hidden="1" customHeight="1" x14ac:dyDescent="0.3">
      <c r="A63" s="4"/>
      <c r="B63" s="355" t="s">
        <v>53</v>
      </c>
      <c r="C63" s="356"/>
      <c r="D63" s="356"/>
      <c r="E63" s="356"/>
      <c r="F63" s="357"/>
      <c r="G63" s="51" t="s">
        <v>366</v>
      </c>
      <c r="H63" s="51"/>
      <c r="I63" s="52" t="s">
        <v>365</v>
      </c>
      <c r="J63" s="48"/>
      <c r="K63" s="49">
        <f>K64</f>
        <v>0</v>
      </c>
      <c r="L63" s="49"/>
      <c r="M63" s="238">
        <f>M64</f>
        <v>0</v>
      </c>
      <c r="N63" s="49"/>
      <c r="O63" s="218"/>
      <c r="P63" s="224"/>
      <c r="Q63" s="224"/>
    </row>
    <row r="64" spans="1:17" ht="35.85" hidden="1" customHeight="1" x14ac:dyDescent="0.3">
      <c r="A64" s="4"/>
      <c r="B64" s="354">
        <v>500</v>
      </c>
      <c r="C64" s="364"/>
      <c r="D64" s="364"/>
      <c r="E64" s="364"/>
      <c r="F64" s="365"/>
      <c r="G64" s="51" t="s">
        <v>4</v>
      </c>
      <c r="H64" s="51"/>
      <c r="I64" s="52"/>
      <c r="J64" s="48">
        <v>600</v>
      </c>
      <c r="K64" s="49">
        <v>0</v>
      </c>
      <c r="L64" s="49"/>
      <c r="M64" s="238">
        <v>0</v>
      </c>
      <c r="N64" s="49"/>
      <c r="O64" s="218"/>
      <c r="P64" s="224"/>
      <c r="Q64" s="224"/>
    </row>
    <row r="65" spans="1:17" ht="31.35" hidden="1" customHeight="1" x14ac:dyDescent="0.3">
      <c r="A65" s="4"/>
      <c r="B65" s="354" t="s">
        <v>52</v>
      </c>
      <c r="C65" s="364"/>
      <c r="D65" s="364"/>
      <c r="E65" s="364"/>
      <c r="F65" s="365"/>
      <c r="G65" s="51" t="s">
        <v>337</v>
      </c>
      <c r="H65" s="51"/>
      <c r="I65" s="52" t="s">
        <v>336</v>
      </c>
      <c r="J65" s="48"/>
      <c r="K65" s="49">
        <f>K66</f>
        <v>0</v>
      </c>
      <c r="L65" s="49"/>
      <c r="M65" s="238">
        <f>M66</f>
        <v>0</v>
      </c>
      <c r="N65" s="49"/>
      <c r="O65" s="218"/>
      <c r="P65" s="224"/>
      <c r="Q65" s="224"/>
    </row>
    <row r="66" spans="1:17" ht="35.1" hidden="1" customHeight="1" x14ac:dyDescent="0.3">
      <c r="A66" s="4"/>
      <c r="B66" s="354">
        <v>500</v>
      </c>
      <c r="C66" s="364"/>
      <c r="D66" s="364"/>
      <c r="E66" s="364"/>
      <c r="F66" s="365"/>
      <c r="G66" s="51" t="s">
        <v>4</v>
      </c>
      <c r="H66" s="51"/>
      <c r="I66" s="52"/>
      <c r="J66" s="48">
        <v>600</v>
      </c>
      <c r="K66" s="49"/>
      <c r="L66" s="49"/>
      <c r="M66" s="238"/>
      <c r="N66" s="49"/>
      <c r="O66" s="218"/>
      <c r="P66" s="224"/>
      <c r="Q66" s="224"/>
    </row>
    <row r="67" spans="1:17" ht="51" hidden="1" customHeight="1" x14ac:dyDescent="0.3">
      <c r="A67" s="4"/>
      <c r="B67" s="354">
        <v>500</v>
      </c>
      <c r="C67" s="364"/>
      <c r="D67" s="364"/>
      <c r="E67" s="364"/>
      <c r="F67" s="365"/>
      <c r="G67" s="51" t="s">
        <v>403</v>
      </c>
      <c r="H67" s="51"/>
      <c r="I67" s="47" t="s">
        <v>250</v>
      </c>
      <c r="J67" s="124"/>
      <c r="K67" s="49">
        <f>K68</f>
        <v>0</v>
      </c>
      <c r="L67" s="174"/>
      <c r="M67" s="238">
        <f>M68</f>
        <v>0</v>
      </c>
      <c r="N67" s="49"/>
      <c r="O67" s="218"/>
      <c r="P67" s="224"/>
      <c r="Q67" s="224"/>
    </row>
    <row r="68" spans="1:17" ht="57.75" hidden="1" customHeight="1" x14ac:dyDescent="0.3">
      <c r="A68" s="4"/>
      <c r="B68" s="17"/>
      <c r="C68" s="17"/>
      <c r="D68" s="17"/>
      <c r="E68" s="17"/>
      <c r="F68" s="18"/>
      <c r="G68" s="63" t="s">
        <v>253</v>
      </c>
      <c r="H68" s="51"/>
      <c r="I68" s="64" t="s">
        <v>251</v>
      </c>
      <c r="J68" s="124"/>
      <c r="K68" s="49">
        <f>K69</f>
        <v>0</v>
      </c>
      <c r="L68" s="174"/>
      <c r="M68" s="238">
        <f>M69</f>
        <v>0</v>
      </c>
      <c r="N68" s="49"/>
      <c r="O68" s="218"/>
      <c r="P68" s="224"/>
      <c r="Q68" s="224"/>
    </row>
    <row r="69" spans="1:17" ht="81.75" hidden="1" customHeight="1" x14ac:dyDescent="0.3">
      <c r="A69" s="4"/>
      <c r="B69" s="17"/>
      <c r="C69" s="17"/>
      <c r="D69" s="17"/>
      <c r="E69" s="17"/>
      <c r="F69" s="18"/>
      <c r="G69" s="51" t="s">
        <v>401</v>
      </c>
      <c r="H69" s="51"/>
      <c r="I69" s="47" t="s">
        <v>252</v>
      </c>
      <c r="J69" s="124"/>
      <c r="K69" s="49">
        <f>K70+K71</f>
        <v>0</v>
      </c>
      <c r="L69" s="174"/>
      <c r="M69" s="238">
        <f>M70+M71</f>
        <v>0</v>
      </c>
      <c r="N69" s="49"/>
      <c r="O69" s="218"/>
      <c r="P69" s="224"/>
      <c r="Q69" s="224"/>
    </row>
    <row r="70" spans="1:17" ht="33.75" hidden="1" customHeight="1" x14ac:dyDescent="0.3">
      <c r="A70" s="4"/>
      <c r="B70" s="17"/>
      <c r="C70" s="17"/>
      <c r="D70" s="17"/>
      <c r="E70" s="17"/>
      <c r="F70" s="18"/>
      <c r="G70" s="51" t="s">
        <v>2</v>
      </c>
      <c r="H70" s="51"/>
      <c r="I70" s="64"/>
      <c r="J70" s="48">
        <v>200</v>
      </c>
      <c r="K70" s="49"/>
      <c r="L70" s="49"/>
      <c r="M70" s="238"/>
      <c r="N70" s="49"/>
      <c r="O70" s="218"/>
      <c r="P70" s="224"/>
      <c r="Q70" s="224"/>
    </row>
    <row r="71" spans="1:17" ht="39.75" hidden="1" customHeight="1" x14ac:dyDescent="0.3">
      <c r="A71" s="4"/>
      <c r="B71" s="17"/>
      <c r="C71" s="17"/>
      <c r="D71" s="17"/>
      <c r="E71" s="17"/>
      <c r="F71" s="18"/>
      <c r="G71" s="51" t="s">
        <v>4</v>
      </c>
      <c r="H71" s="51"/>
      <c r="I71" s="64"/>
      <c r="J71" s="48">
        <v>600</v>
      </c>
      <c r="K71" s="49"/>
      <c r="L71" s="49"/>
      <c r="M71" s="238"/>
      <c r="N71" s="49"/>
      <c r="O71" s="218"/>
      <c r="P71" s="224"/>
      <c r="Q71" s="224"/>
    </row>
    <row r="72" spans="1:17" ht="25.5" hidden="1" customHeight="1" x14ac:dyDescent="0.3">
      <c r="A72" s="4"/>
      <c r="B72" s="17"/>
      <c r="C72" s="17"/>
      <c r="D72" s="17"/>
      <c r="E72" s="17"/>
      <c r="F72" s="18"/>
      <c r="G72" s="51" t="s">
        <v>399</v>
      </c>
      <c r="H72" s="121"/>
      <c r="I72" s="47" t="s">
        <v>254</v>
      </c>
      <c r="J72" s="122" t="s">
        <v>0</v>
      </c>
      <c r="K72" s="49">
        <f>K73</f>
        <v>0</v>
      </c>
      <c r="L72" s="127"/>
      <c r="M72" s="238">
        <f>M73</f>
        <v>0</v>
      </c>
      <c r="N72" s="49"/>
      <c r="O72" s="218"/>
      <c r="P72" s="224"/>
      <c r="Q72" s="224"/>
    </row>
    <row r="73" spans="1:17" ht="53.25" hidden="1" customHeight="1" x14ac:dyDescent="0.3">
      <c r="A73" s="4"/>
      <c r="B73" s="17"/>
      <c r="C73" s="17"/>
      <c r="D73" s="17"/>
      <c r="E73" s="17"/>
      <c r="F73" s="18"/>
      <c r="G73" s="63" t="s">
        <v>256</v>
      </c>
      <c r="H73" s="63"/>
      <c r="I73" s="64" t="s">
        <v>255</v>
      </c>
      <c r="J73" s="122"/>
      <c r="K73" s="49">
        <f>K74</f>
        <v>0</v>
      </c>
      <c r="L73" s="127"/>
      <c r="M73" s="238">
        <f>M74</f>
        <v>0</v>
      </c>
      <c r="N73" s="49"/>
      <c r="O73" s="218"/>
      <c r="P73" s="224"/>
      <c r="Q73" s="224"/>
    </row>
    <row r="74" spans="1:17" ht="37.5" hidden="1" customHeight="1" x14ac:dyDescent="0.3">
      <c r="A74" s="4"/>
      <c r="B74" s="17"/>
      <c r="C74" s="17"/>
      <c r="D74" s="17"/>
      <c r="E74" s="17"/>
      <c r="F74" s="18"/>
      <c r="G74" s="51" t="s">
        <v>400</v>
      </c>
      <c r="H74" s="51"/>
      <c r="I74" s="64" t="s">
        <v>257</v>
      </c>
      <c r="J74" s="48"/>
      <c r="K74" s="49">
        <f>K75+K76</f>
        <v>0</v>
      </c>
      <c r="L74" s="49"/>
      <c r="M74" s="238">
        <f>M75+M76</f>
        <v>0</v>
      </c>
      <c r="N74" s="49"/>
      <c r="O74" s="218"/>
      <c r="P74" s="224"/>
      <c r="Q74" s="224"/>
    </row>
    <row r="75" spans="1:17" s="50" customFormat="1" ht="42.75" hidden="1" customHeight="1" x14ac:dyDescent="0.3">
      <c r="A75" s="44"/>
      <c r="B75" s="373" t="s">
        <v>51</v>
      </c>
      <c r="C75" s="374"/>
      <c r="D75" s="374"/>
      <c r="E75" s="374"/>
      <c r="F75" s="375"/>
      <c r="G75" s="51" t="s">
        <v>2</v>
      </c>
      <c r="H75" s="51"/>
      <c r="I75" s="52"/>
      <c r="J75" s="48">
        <v>200</v>
      </c>
      <c r="K75" s="49"/>
      <c r="L75" s="49"/>
      <c r="M75" s="238"/>
      <c r="N75" s="49"/>
      <c r="O75" s="218"/>
      <c r="P75" s="224"/>
      <c r="Q75" s="224"/>
    </row>
    <row r="76" spans="1:17" s="50" customFormat="1" ht="43.5" hidden="1" customHeight="1" x14ac:dyDescent="0.3">
      <c r="A76" s="44"/>
      <c r="B76" s="45"/>
      <c r="C76" s="45"/>
      <c r="D76" s="45"/>
      <c r="E76" s="45"/>
      <c r="F76" s="46"/>
      <c r="G76" s="51" t="s">
        <v>4</v>
      </c>
      <c r="H76" s="51"/>
      <c r="I76" s="52"/>
      <c r="J76" s="48">
        <v>600</v>
      </c>
      <c r="K76" s="49"/>
      <c r="L76" s="49"/>
      <c r="M76" s="238"/>
      <c r="N76" s="49"/>
      <c r="O76" s="218"/>
      <c r="P76" s="224"/>
      <c r="Q76" s="224"/>
    </row>
    <row r="77" spans="1:17" s="50" customFormat="1" ht="43.35" hidden="1" customHeight="1" x14ac:dyDescent="0.3">
      <c r="A77" s="44"/>
      <c r="B77" s="177"/>
      <c r="C77" s="177"/>
      <c r="D77" s="177"/>
      <c r="E77" s="177"/>
      <c r="F77" s="178"/>
      <c r="G77" s="51"/>
      <c r="H77" s="51"/>
      <c r="I77" s="52"/>
      <c r="J77" s="48"/>
      <c r="K77" s="49"/>
      <c r="L77" s="49"/>
      <c r="M77" s="238"/>
      <c r="N77" s="49"/>
      <c r="O77" s="218"/>
      <c r="P77" s="224"/>
      <c r="Q77" s="224"/>
    </row>
    <row r="78" spans="1:17" s="50" customFormat="1" ht="45.9" hidden="1" customHeight="1" x14ac:dyDescent="0.3">
      <c r="A78" s="44"/>
      <c r="B78" s="177"/>
      <c r="C78" s="177"/>
      <c r="D78" s="177"/>
      <c r="E78" s="177"/>
      <c r="F78" s="178"/>
      <c r="G78" s="51" t="s">
        <v>486</v>
      </c>
      <c r="H78" s="51"/>
      <c r="I78" s="166" t="s">
        <v>245</v>
      </c>
      <c r="J78" s="48"/>
      <c r="K78" s="49">
        <f>K79</f>
        <v>0</v>
      </c>
      <c r="L78" s="49">
        <f>L79</f>
        <v>0</v>
      </c>
      <c r="M78" s="238">
        <f>M79</f>
        <v>0</v>
      </c>
      <c r="N78" s="49"/>
      <c r="O78" s="218">
        <f>O79</f>
        <v>0</v>
      </c>
      <c r="P78" s="224"/>
      <c r="Q78" s="224"/>
    </row>
    <row r="79" spans="1:17" s="50" customFormat="1" ht="45.6" hidden="1" customHeight="1" x14ac:dyDescent="0.3">
      <c r="A79" s="44"/>
      <c r="B79" s="177"/>
      <c r="C79" s="177"/>
      <c r="D79" s="177"/>
      <c r="E79" s="177"/>
      <c r="F79" s="198"/>
      <c r="G79" s="51" t="s">
        <v>4</v>
      </c>
      <c r="H79" s="51"/>
      <c r="I79" s="52"/>
      <c r="J79" s="48">
        <v>600</v>
      </c>
      <c r="K79" s="49"/>
      <c r="L79" s="49"/>
      <c r="M79" s="238">
        <f>K79+L79</f>
        <v>0</v>
      </c>
      <c r="N79" s="49"/>
      <c r="O79" s="218"/>
      <c r="P79" s="224"/>
      <c r="Q79" s="224"/>
    </row>
    <row r="80" spans="1:17" s="50" customFormat="1" ht="28.5" customHeight="1" x14ac:dyDescent="0.3">
      <c r="A80" s="44"/>
      <c r="B80" s="158"/>
      <c r="C80" s="158"/>
      <c r="D80" s="158"/>
      <c r="E80" s="158"/>
      <c r="F80" s="159"/>
      <c r="G80" s="51" t="s">
        <v>429</v>
      </c>
      <c r="H80" s="51"/>
      <c r="I80" s="166" t="s">
        <v>428</v>
      </c>
      <c r="J80" s="48"/>
      <c r="K80" s="49">
        <f>K81</f>
        <v>9112867</v>
      </c>
      <c r="L80" s="49"/>
      <c r="M80" s="238">
        <f>M81</f>
        <v>8328056</v>
      </c>
      <c r="N80" s="49">
        <f>N81</f>
        <v>0</v>
      </c>
      <c r="O80" s="218">
        <f>O81</f>
        <v>12190469</v>
      </c>
      <c r="P80" s="224"/>
      <c r="Q80" s="224"/>
    </row>
    <row r="81" spans="1:17" s="50" customFormat="1" ht="36.75" customHeight="1" x14ac:dyDescent="0.3">
      <c r="A81" s="44"/>
      <c r="B81" s="158"/>
      <c r="C81" s="158"/>
      <c r="D81" s="158"/>
      <c r="E81" s="158"/>
      <c r="F81" s="159"/>
      <c r="G81" s="51" t="s">
        <v>4</v>
      </c>
      <c r="H81" s="51"/>
      <c r="I81" s="52"/>
      <c r="J81" s="48">
        <v>600</v>
      </c>
      <c r="K81" s="49">
        <v>9112867</v>
      </c>
      <c r="L81" s="49"/>
      <c r="M81" s="238">
        <v>8328056</v>
      </c>
      <c r="N81" s="49"/>
      <c r="O81" s="218">
        <v>12190469</v>
      </c>
      <c r="P81" s="224"/>
      <c r="Q81" s="224"/>
    </row>
    <row r="82" spans="1:17" s="50" customFormat="1" ht="44.25" hidden="1" customHeight="1" x14ac:dyDescent="0.3">
      <c r="A82" s="44"/>
      <c r="B82" s="177"/>
      <c r="C82" s="177"/>
      <c r="D82" s="177"/>
      <c r="E82" s="177"/>
      <c r="F82" s="200"/>
      <c r="G82" s="51" t="s">
        <v>499</v>
      </c>
      <c r="H82" s="51"/>
      <c r="I82" s="166" t="s">
        <v>497</v>
      </c>
      <c r="J82" s="48"/>
      <c r="K82" s="49">
        <f>K83</f>
        <v>0</v>
      </c>
      <c r="L82" s="49">
        <f>L83</f>
        <v>5557</v>
      </c>
      <c r="M82" s="238">
        <f>M83</f>
        <v>5557</v>
      </c>
      <c r="N82" s="49"/>
      <c r="O82" s="251"/>
      <c r="P82" s="224"/>
      <c r="Q82" s="224"/>
    </row>
    <row r="83" spans="1:17" s="50" customFormat="1" ht="63" hidden="1" customHeight="1" x14ac:dyDescent="0.3">
      <c r="A83" s="44"/>
      <c r="B83" s="177"/>
      <c r="C83" s="177"/>
      <c r="D83" s="177"/>
      <c r="E83" s="177"/>
      <c r="F83" s="200"/>
      <c r="G83" s="51" t="s">
        <v>4</v>
      </c>
      <c r="H83" s="51"/>
      <c r="I83" s="52"/>
      <c r="J83" s="48">
        <v>600</v>
      </c>
      <c r="K83" s="49">
        <v>0</v>
      </c>
      <c r="L83" s="49">
        <v>5557</v>
      </c>
      <c r="M83" s="238">
        <f>L83+K83</f>
        <v>5557</v>
      </c>
      <c r="N83" s="49"/>
      <c r="O83" s="251"/>
      <c r="P83" s="224"/>
      <c r="Q83" s="224"/>
    </row>
    <row r="84" spans="1:17" s="50" customFormat="1" ht="63" hidden="1" customHeight="1" x14ac:dyDescent="0.3">
      <c r="A84" s="44"/>
      <c r="B84" s="177"/>
      <c r="C84" s="177"/>
      <c r="D84" s="177"/>
      <c r="E84" s="177"/>
      <c r="F84" s="200"/>
      <c r="G84" s="51" t="s">
        <v>500</v>
      </c>
      <c r="H84" s="51"/>
      <c r="I84" s="166" t="s">
        <v>498</v>
      </c>
      <c r="J84" s="48"/>
      <c r="K84" s="49">
        <f>K85</f>
        <v>0</v>
      </c>
      <c r="L84" s="49">
        <f>L85</f>
        <v>150000</v>
      </c>
      <c r="M84" s="238">
        <f>M85</f>
        <v>150000</v>
      </c>
      <c r="N84" s="49"/>
      <c r="O84" s="251"/>
      <c r="P84" s="224"/>
      <c r="Q84" s="224"/>
    </row>
    <row r="85" spans="1:17" s="50" customFormat="1" ht="39" hidden="1" customHeight="1" x14ac:dyDescent="0.3">
      <c r="A85" s="44"/>
      <c r="B85" s="177"/>
      <c r="C85" s="177"/>
      <c r="D85" s="177"/>
      <c r="E85" s="177"/>
      <c r="F85" s="200"/>
      <c r="G85" s="51" t="s">
        <v>4</v>
      </c>
      <c r="H85" s="51"/>
      <c r="I85" s="52"/>
      <c r="J85" s="48">
        <v>600</v>
      </c>
      <c r="K85" s="49">
        <v>0</v>
      </c>
      <c r="L85" s="49">
        <v>150000</v>
      </c>
      <c r="M85" s="238">
        <f>L85+K85</f>
        <v>150000</v>
      </c>
      <c r="N85" s="49"/>
      <c r="O85" s="251"/>
      <c r="P85" s="224"/>
      <c r="Q85" s="224"/>
    </row>
    <row r="86" spans="1:17" s="50" customFormat="1" ht="30.75" hidden="1" customHeight="1" x14ac:dyDescent="0.3">
      <c r="A86" s="44"/>
      <c r="B86" s="172"/>
      <c r="C86" s="172"/>
      <c r="D86" s="172"/>
      <c r="E86" s="172"/>
      <c r="F86" s="173"/>
      <c r="G86" s="63" t="s">
        <v>454</v>
      </c>
      <c r="H86" s="51"/>
      <c r="I86" s="123" t="s">
        <v>335</v>
      </c>
      <c r="J86" s="124"/>
      <c r="K86" s="49">
        <f t="shared" ref="K86:M87" si="5">K87</f>
        <v>0</v>
      </c>
      <c r="L86" s="49">
        <f t="shared" si="5"/>
        <v>294730</v>
      </c>
      <c r="M86" s="238">
        <f t="shared" si="5"/>
        <v>294730</v>
      </c>
      <c r="N86" s="49"/>
      <c r="O86" s="251"/>
      <c r="P86" s="224"/>
      <c r="Q86" s="224"/>
    </row>
    <row r="87" spans="1:17" s="50" customFormat="1" ht="36" hidden="1" customHeight="1" x14ac:dyDescent="0.3">
      <c r="A87" s="44"/>
      <c r="B87" s="172"/>
      <c r="C87" s="172"/>
      <c r="D87" s="172"/>
      <c r="E87" s="172"/>
      <c r="F87" s="173"/>
      <c r="G87" s="51" t="s">
        <v>455</v>
      </c>
      <c r="H87" s="51"/>
      <c r="I87" s="52" t="s">
        <v>456</v>
      </c>
      <c r="J87" s="48"/>
      <c r="K87" s="49">
        <f t="shared" si="5"/>
        <v>0</v>
      </c>
      <c r="L87" s="49">
        <f t="shared" si="5"/>
        <v>294730</v>
      </c>
      <c r="M87" s="238">
        <f t="shared" si="5"/>
        <v>294730</v>
      </c>
      <c r="N87" s="49"/>
      <c r="O87" s="251"/>
      <c r="P87" s="224"/>
      <c r="Q87" s="224"/>
    </row>
    <row r="88" spans="1:17" s="50" customFormat="1" ht="41.25" hidden="1" customHeight="1" x14ac:dyDescent="0.3">
      <c r="A88" s="44"/>
      <c r="B88" s="172"/>
      <c r="C88" s="172"/>
      <c r="D88" s="172"/>
      <c r="E88" s="172"/>
      <c r="F88" s="173"/>
      <c r="G88" s="51" t="s">
        <v>4</v>
      </c>
      <c r="H88" s="51"/>
      <c r="I88" s="52"/>
      <c r="J88" s="48">
        <v>600</v>
      </c>
      <c r="K88" s="49"/>
      <c r="L88" s="49">
        <f>131564+163166</f>
        <v>294730</v>
      </c>
      <c r="M88" s="238">
        <f>K88+L88</f>
        <v>294730</v>
      </c>
      <c r="N88" s="49"/>
      <c r="O88" s="251"/>
      <c r="P88" s="224"/>
      <c r="Q88" s="224"/>
    </row>
    <row r="89" spans="1:17" s="50" customFormat="1" ht="36.6" customHeight="1" x14ac:dyDescent="0.3">
      <c r="A89" s="44"/>
      <c r="B89" s="177"/>
      <c r="C89" s="177"/>
      <c r="D89" s="177"/>
      <c r="E89" s="177"/>
      <c r="F89" s="327"/>
      <c r="G89" s="51" t="s">
        <v>663</v>
      </c>
      <c r="H89" s="51"/>
      <c r="I89" s="47" t="s">
        <v>662</v>
      </c>
      <c r="J89" s="48"/>
      <c r="K89" s="49"/>
      <c r="L89" s="49"/>
      <c r="M89" s="238"/>
      <c r="N89" s="49"/>
      <c r="O89" s="218">
        <f>O90</f>
        <v>0</v>
      </c>
      <c r="P89" s="224"/>
      <c r="Q89" s="224"/>
    </row>
    <row r="90" spans="1:17" s="50" customFormat="1" ht="36.6" customHeight="1" x14ac:dyDescent="0.3">
      <c r="A90" s="44"/>
      <c r="B90" s="177"/>
      <c r="C90" s="177"/>
      <c r="D90" s="177"/>
      <c r="E90" s="177"/>
      <c r="F90" s="327"/>
      <c r="G90" s="51" t="s">
        <v>4</v>
      </c>
      <c r="H90" s="51"/>
      <c r="I90" s="312"/>
      <c r="J90" s="48">
        <v>600</v>
      </c>
      <c r="K90" s="49"/>
      <c r="L90" s="49"/>
      <c r="M90" s="238"/>
      <c r="N90" s="49"/>
      <c r="O90" s="218"/>
      <c r="P90" s="224"/>
      <c r="Q90" s="224"/>
    </row>
    <row r="91" spans="1:17" s="50" customFormat="1" ht="39" customHeight="1" x14ac:dyDescent="0.3">
      <c r="A91" s="44"/>
      <c r="B91" s="177"/>
      <c r="C91" s="177"/>
      <c r="D91" s="177"/>
      <c r="E91" s="177"/>
      <c r="F91" s="311"/>
      <c r="G91" s="14" t="s">
        <v>486</v>
      </c>
      <c r="H91" s="51"/>
      <c r="I91" s="166" t="s">
        <v>245</v>
      </c>
      <c r="J91" s="48"/>
      <c r="K91" s="49"/>
      <c r="L91" s="49"/>
      <c r="M91" s="238"/>
      <c r="N91" s="49"/>
      <c r="O91" s="218">
        <f>O92</f>
        <v>1588848</v>
      </c>
      <c r="P91" s="224"/>
      <c r="Q91" s="224"/>
    </row>
    <row r="92" spans="1:17" s="50" customFormat="1" ht="36.6" customHeight="1" x14ac:dyDescent="0.3">
      <c r="A92" s="44"/>
      <c r="B92" s="177"/>
      <c r="C92" s="177"/>
      <c r="D92" s="177"/>
      <c r="E92" s="177"/>
      <c r="F92" s="311"/>
      <c r="G92" s="51" t="s">
        <v>4</v>
      </c>
      <c r="H92" s="51"/>
      <c r="I92" s="312"/>
      <c r="J92" s="48">
        <v>600</v>
      </c>
      <c r="K92" s="49"/>
      <c r="L92" s="49"/>
      <c r="M92" s="238"/>
      <c r="N92" s="49"/>
      <c r="O92" s="218">
        <v>1588848</v>
      </c>
      <c r="P92" s="224"/>
      <c r="Q92" s="224"/>
    </row>
    <row r="93" spans="1:17" s="50" customFormat="1" ht="53.1" customHeight="1" x14ac:dyDescent="0.3">
      <c r="A93" s="44"/>
      <c r="B93" s="177"/>
      <c r="C93" s="177"/>
      <c r="D93" s="177"/>
      <c r="E93" s="177"/>
      <c r="F93" s="311"/>
      <c r="G93" s="14" t="s">
        <v>649</v>
      </c>
      <c r="H93" s="51"/>
      <c r="I93" s="166" t="s">
        <v>648</v>
      </c>
      <c r="J93" s="48"/>
      <c r="K93" s="49"/>
      <c r="L93" s="49"/>
      <c r="M93" s="238"/>
      <c r="N93" s="49"/>
      <c r="O93" s="218">
        <f>O94</f>
        <v>240000</v>
      </c>
      <c r="P93" s="224"/>
      <c r="Q93" s="224"/>
    </row>
    <row r="94" spans="1:17" s="50" customFormat="1" ht="36.6" customHeight="1" x14ac:dyDescent="0.3">
      <c r="A94" s="44"/>
      <c r="B94" s="177"/>
      <c r="C94" s="177"/>
      <c r="D94" s="177"/>
      <c r="E94" s="177"/>
      <c r="F94" s="311"/>
      <c r="G94" s="51" t="s">
        <v>4</v>
      </c>
      <c r="H94" s="51"/>
      <c r="I94" s="312"/>
      <c r="J94" s="48">
        <v>600</v>
      </c>
      <c r="K94" s="49"/>
      <c r="L94" s="49"/>
      <c r="M94" s="238"/>
      <c r="N94" s="49"/>
      <c r="O94" s="218">
        <v>240000</v>
      </c>
      <c r="P94" s="224"/>
      <c r="Q94" s="224"/>
    </row>
    <row r="95" spans="1:17" s="50" customFormat="1" ht="24.9" customHeight="1" x14ac:dyDescent="0.3">
      <c r="A95" s="44"/>
      <c r="B95" s="177"/>
      <c r="C95" s="177"/>
      <c r="D95" s="177"/>
      <c r="E95" s="177"/>
      <c r="F95" s="283"/>
      <c r="G95" s="51" t="s">
        <v>606</v>
      </c>
      <c r="H95" s="51"/>
      <c r="I95" s="284" t="s">
        <v>497</v>
      </c>
      <c r="J95" s="48"/>
      <c r="K95" s="49"/>
      <c r="L95" s="49"/>
      <c r="M95" s="238"/>
      <c r="N95" s="49"/>
      <c r="O95" s="218">
        <f>O96</f>
        <v>95384</v>
      </c>
      <c r="P95" s="224"/>
      <c r="Q95" s="224"/>
    </row>
    <row r="96" spans="1:17" s="50" customFormat="1" ht="36.6" customHeight="1" x14ac:dyDescent="0.3">
      <c r="A96" s="44"/>
      <c r="B96" s="177"/>
      <c r="C96" s="177"/>
      <c r="D96" s="177"/>
      <c r="E96" s="177"/>
      <c r="F96" s="283"/>
      <c r="G96" s="51" t="s">
        <v>4</v>
      </c>
      <c r="H96" s="51"/>
      <c r="I96" s="52"/>
      <c r="J96" s="48">
        <v>600</v>
      </c>
      <c r="K96" s="49"/>
      <c r="L96" s="49"/>
      <c r="M96" s="238"/>
      <c r="N96" s="49"/>
      <c r="O96" s="218">
        <f>4447+90584+353</f>
        <v>95384</v>
      </c>
      <c r="P96" s="224"/>
      <c r="Q96" s="224"/>
    </row>
    <row r="97" spans="1:17" s="50" customFormat="1" ht="84" customHeight="1" x14ac:dyDescent="0.3">
      <c r="A97" s="44"/>
      <c r="B97" s="177"/>
      <c r="C97" s="177"/>
      <c r="D97" s="177"/>
      <c r="E97" s="177"/>
      <c r="F97" s="306"/>
      <c r="G97" s="14" t="s">
        <v>454</v>
      </c>
      <c r="H97" s="51"/>
      <c r="I97" s="279" t="s">
        <v>335</v>
      </c>
      <c r="J97" s="48"/>
      <c r="K97" s="49"/>
      <c r="L97" s="49"/>
      <c r="M97" s="238"/>
      <c r="N97" s="49"/>
      <c r="O97" s="218">
        <f>O98+O100</f>
        <v>1362060</v>
      </c>
      <c r="P97" s="224"/>
      <c r="Q97" s="224"/>
    </row>
    <row r="98" spans="1:17" s="50" customFormat="1" ht="69.75" customHeight="1" x14ac:dyDescent="0.3">
      <c r="A98" s="44"/>
      <c r="B98" s="177"/>
      <c r="C98" s="177"/>
      <c r="D98" s="177"/>
      <c r="E98" s="177"/>
      <c r="F98" s="306"/>
      <c r="G98" s="14" t="s">
        <v>572</v>
      </c>
      <c r="H98" s="51"/>
      <c r="I98" s="284" t="s">
        <v>571</v>
      </c>
      <c r="J98" s="48"/>
      <c r="K98" s="49"/>
      <c r="L98" s="49"/>
      <c r="M98" s="238"/>
      <c r="N98" s="49"/>
      <c r="O98" s="218">
        <f>O99</f>
        <v>0</v>
      </c>
      <c r="P98" s="224"/>
      <c r="Q98" s="224"/>
    </row>
    <row r="99" spans="1:17" s="50" customFormat="1" ht="36.6" customHeight="1" x14ac:dyDescent="0.3">
      <c r="A99" s="44"/>
      <c r="B99" s="177"/>
      <c r="C99" s="177"/>
      <c r="D99" s="177"/>
      <c r="E99" s="177"/>
      <c r="F99" s="306"/>
      <c r="G99" s="51" t="s">
        <v>4</v>
      </c>
      <c r="H99" s="51"/>
      <c r="I99" s="52"/>
      <c r="J99" s="48">
        <v>600</v>
      </c>
      <c r="K99" s="49"/>
      <c r="L99" s="49"/>
      <c r="M99" s="238"/>
      <c r="N99" s="49"/>
      <c r="O99" s="271"/>
      <c r="P99" s="224"/>
      <c r="Q99" s="224"/>
    </row>
    <row r="100" spans="1:17" s="50" customFormat="1" ht="45" customHeight="1" x14ac:dyDescent="0.3">
      <c r="A100" s="44"/>
      <c r="B100" s="177"/>
      <c r="C100" s="177"/>
      <c r="D100" s="177"/>
      <c r="E100" s="177"/>
      <c r="F100" s="306"/>
      <c r="G100" s="14" t="s">
        <v>455</v>
      </c>
      <c r="H100" s="51"/>
      <c r="I100" s="284" t="s">
        <v>456</v>
      </c>
      <c r="J100" s="48"/>
      <c r="K100" s="49"/>
      <c r="L100" s="49"/>
      <c r="M100" s="238"/>
      <c r="N100" s="49"/>
      <c r="O100" s="218">
        <f>O101</f>
        <v>1362060</v>
      </c>
      <c r="P100" s="224"/>
      <c r="Q100" s="224"/>
    </row>
    <row r="101" spans="1:17" s="50" customFormat="1" ht="36.6" customHeight="1" x14ac:dyDescent="0.3">
      <c r="A101" s="44"/>
      <c r="B101" s="177"/>
      <c r="C101" s="177"/>
      <c r="D101" s="177"/>
      <c r="E101" s="177"/>
      <c r="F101" s="306"/>
      <c r="G101" s="51" t="s">
        <v>4</v>
      </c>
      <c r="H101" s="51"/>
      <c r="I101" s="52"/>
      <c r="J101" s="48">
        <v>600</v>
      </c>
      <c r="K101" s="49"/>
      <c r="L101" s="49"/>
      <c r="M101" s="238"/>
      <c r="N101" s="49"/>
      <c r="O101" s="271">
        <v>1362060</v>
      </c>
      <c r="P101" s="224"/>
      <c r="Q101" s="224"/>
    </row>
    <row r="102" spans="1:17" s="50" customFormat="1" ht="36.6" customHeight="1" x14ac:dyDescent="0.3">
      <c r="A102" s="44"/>
      <c r="B102" s="177"/>
      <c r="C102" s="177"/>
      <c r="D102" s="177"/>
      <c r="E102" s="177"/>
      <c r="F102" s="278"/>
      <c r="G102" s="63" t="s">
        <v>609</v>
      </c>
      <c r="H102" s="51"/>
      <c r="I102" s="279" t="s">
        <v>607</v>
      </c>
      <c r="J102" s="48"/>
      <c r="K102" s="49"/>
      <c r="L102" s="49"/>
      <c r="M102" s="238"/>
      <c r="N102" s="49"/>
      <c r="O102" s="218">
        <f t="shared" ref="O102:O103" si="6">O103</f>
        <v>0</v>
      </c>
      <c r="P102" s="224"/>
      <c r="Q102" s="224"/>
    </row>
    <row r="103" spans="1:17" s="50" customFormat="1" ht="57" customHeight="1" x14ac:dyDescent="0.3">
      <c r="A103" s="44"/>
      <c r="B103" s="177"/>
      <c r="C103" s="177"/>
      <c r="D103" s="177"/>
      <c r="E103" s="177"/>
      <c r="F103" s="278"/>
      <c r="G103" s="290" t="s">
        <v>617</v>
      </c>
      <c r="H103" s="51"/>
      <c r="I103" s="166" t="s">
        <v>608</v>
      </c>
      <c r="J103" s="48"/>
      <c r="K103" s="49"/>
      <c r="L103" s="49"/>
      <c r="M103" s="238"/>
      <c r="N103" s="49"/>
      <c r="O103" s="218">
        <f t="shared" si="6"/>
        <v>0</v>
      </c>
      <c r="P103" s="224"/>
      <c r="Q103" s="224"/>
    </row>
    <row r="104" spans="1:17" s="50" customFormat="1" ht="47.25" customHeight="1" x14ac:dyDescent="0.3">
      <c r="A104" s="44"/>
      <c r="B104" s="177"/>
      <c r="C104" s="177"/>
      <c r="D104" s="177"/>
      <c r="E104" s="177"/>
      <c r="F104" s="278"/>
      <c r="G104" s="51" t="s">
        <v>4</v>
      </c>
      <c r="H104" s="51"/>
      <c r="I104" s="52"/>
      <c r="J104" s="48">
        <v>600</v>
      </c>
      <c r="K104" s="49"/>
      <c r="L104" s="49"/>
      <c r="M104" s="238"/>
      <c r="N104" s="49"/>
      <c r="O104" s="218"/>
      <c r="P104" s="224"/>
      <c r="Q104" s="224"/>
    </row>
    <row r="105" spans="1:17" s="50" customFormat="1" ht="84.6" hidden="1" customHeight="1" x14ac:dyDescent="0.3">
      <c r="A105" s="44"/>
      <c r="B105" s="177"/>
      <c r="C105" s="177"/>
      <c r="D105" s="177"/>
      <c r="E105" s="177"/>
      <c r="F105" s="249"/>
      <c r="G105" s="63" t="s">
        <v>454</v>
      </c>
      <c r="H105" s="51"/>
      <c r="I105" s="64" t="s">
        <v>335</v>
      </c>
      <c r="J105" s="48"/>
      <c r="K105" s="49">
        <f>K106+K108</f>
        <v>2051749</v>
      </c>
      <c r="L105" s="49"/>
      <c r="M105" s="238"/>
      <c r="N105" s="49">
        <f>N106+N108</f>
        <v>394348</v>
      </c>
      <c r="O105" s="218">
        <f>O106+O108</f>
        <v>0</v>
      </c>
      <c r="P105" s="224"/>
      <c r="Q105" s="224"/>
    </row>
    <row r="106" spans="1:17" s="50" customFormat="1" ht="53.1" hidden="1" customHeight="1" x14ac:dyDescent="0.3">
      <c r="A106" s="44"/>
      <c r="B106" s="177"/>
      <c r="C106" s="177"/>
      <c r="D106" s="177"/>
      <c r="E106" s="177"/>
      <c r="F106" s="249"/>
      <c r="G106" s="51" t="s">
        <v>455</v>
      </c>
      <c r="H106" s="51"/>
      <c r="I106" s="166" t="s">
        <v>456</v>
      </c>
      <c r="J106" s="48"/>
      <c r="K106" s="49">
        <f>K107</f>
        <v>46742</v>
      </c>
      <c r="L106" s="49"/>
      <c r="M106" s="238"/>
      <c r="N106" s="49">
        <f>N107</f>
        <v>394348</v>
      </c>
      <c r="O106" s="218">
        <f>O107</f>
        <v>0</v>
      </c>
      <c r="P106" s="224"/>
      <c r="Q106" s="224"/>
    </row>
    <row r="107" spans="1:17" s="50" customFormat="1" ht="48.9" hidden="1" customHeight="1" x14ac:dyDescent="0.3">
      <c r="A107" s="44"/>
      <c r="B107" s="177"/>
      <c r="C107" s="177"/>
      <c r="D107" s="177"/>
      <c r="E107" s="177"/>
      <c r="F107" s="249"/>
      <c r="G107" s="51" t="s">
        <v>4</v>
      </c>
      <c r="H107" s="51"/>
      <c r="I107" s="52"/>
      <c r="J107" s="48">
        <v>600</v>
      </c>
      <c r="K107" s="49">
        <v>46742</v>
      </c>
      <c r="L107" s="49"/>
      <c r="M107" s="238"/>
      <c r="N107" s="49">
        <v>394348</v>
      </c>
      <c r="O107" s="271"/>
      <c r="P107" s="224"/>
      <c r="Q107" s="224"/>
    </row>
    <row r="108" spans="1:17" s="50" customFormat="1" ht="69" hidden="1" customHeight="1" x14ac:dyDescent="0.3">
      <c r="A108" s="44"/>
      <c r="B108" s="177"/>
      <c r="C108" s="177"/>
      <c r="D108" s="177"/>
      <c r="E108" s="177"/>
      <c r="F108" s="249"/>
      <c r="G108" s="51" t="s">
        <v>572</v>
      </c>
      <c r="H108" s="51"/>
      <c r="I108" s="166" t="s">
        <v>571</v>
      </c>
      <c r="J108" s="48"/>
      <c r="K108" s="49">
        <f>K109</f>
        <v>2005007</v>
      </c>
      <c r="L108" s="49"/>
      <c r="M108" s="238"/>
      <c r="N108" s="49">
        <f>N109</f>
        <v>0</v>
      </c>
      <c r="O108" s="218">
        <f>O109</f>
        <v>0</v>
      </c>
      <c r="P108" s="224"/>
      <c r="Q108" s="224"/>
    </row>
    <row r="109" spans="1:17" s="50" customFormat="1" ht="51" hidden="1" customHeight="1" x14ac:dyDescent="0.3">
      <c r="A109" s="44"/>
      <c r="B109" s="177"/>
      <c r="C109" s="177"/>
      <c r="D109" s="177"/>
      <c r="E109" s="177"/>
      <c r="F109" s="249"/>
      <c r="G109" s="51" t="s">
        <v>4</v>
      </c>
      <c r="H109" s="51"/>
      <c r="I109" s="52"/>
      <c r="J109" s="48">
        <v>600</v>
      </c>
      <c r="K109" s="49">
        <v>2005007</v>
      </c>
      <c r="L109" s="49"/>
      <c r="M109" s="238"/>
      <c r="N109" s="49"/>
      <c r="O109" s="218"/>
      <c r="P109" s="224"/>
      <c r="Q109" s="224"/>
    </row>
    <row r="110" spans="1:17" s="50" customFormat="1" ht="51" hidden="1" customHeight="1" x14ac:dyDescent="0.3">
      <c r="A110" s="44"/>
      <c r="B110" s="177"/>
      <c r="C110" s="177"/>
      <c r="D110" s="177"/>
      <c r="E110" s="177"/>
      <c r="F110" s="296"/>
      <c r="G110" s="121" t="s">
        <v>600</v>
      </c>
      <c r="H110" s="51"/>
      <c r="I110" s="60" t="s">
        <v>250</v>
      </c>
      <c r="J110" s="48"/>
      <c r="K110" s="49"/>
      <c r="L110" s="49"/>
      <c r="M110" s="238"/>
      <c r="N110" s="49"/>
      <c r="O110" s="218">
        <f>O111</f>
        <v>0</v>
      </c>
      <c r="P110" s="224"/>
      <c r="Q110" s="224"/>
    </row>
    <row r="111" spans="1:17" s="50" customFormat="1" ht="51" hidden="1" customHeight="1" x14ac:dyDescent="0.3">
      <c r="A111" s="44"/>
      <c r="B111" s="177"/>
      <c r="C111" s="177"/>
      <c r="D111" s="177"/>
      <c r="E111" s="177"/>
      <c r="F111" s="296"/>
      <c r="G111" s="63" t="s">
        <v>578</v>
      </c>
      <c r="H111" s="51"/>
      <c r="I111" s="64" t="s">
        <v>251</v>
      </c>
      <c r="J111" s="48"/>
      <c r="K111" s="49"/>
      <c r="L111" s="49"/>
      <c r="M111" s="238"/>
      <c r="N111" s="49"/>
      <c r="O111" s="218">
        <f>O112</f>
        <v>0</v>
      </c>
      <c r="P111" s="224"/>
      <c r="Q111" s="224"/>
    </row>
    <row r="112" spans="1:17" s="50" customFormat="1" ht="51" hidden="1" customHeight="1" x14ac:dyDescent="0.3">
      <c r="A112" s="44"/>
      <c r="B112" s="177"/>
      <c r="C112" s="177"/>
      <c r="D112" s="177"/>
      <c r="E112" s="177"/>
      <c r="F112" s="296"/>
      <c r="G112" s="51" t="s">
        <v>579</v>
      </c>
      <c r="H112" s="51"/>
      <c r="I112" s="52" t="s">
        <v>581</v>
      </c>
      <c r="J112" s="48"/>
      <c r="K112" s="49"/>
      <c r="L112" s="49"/>
      <c r="M112" s="238"/>
      <c r="N112" s="49"/>
      <c r="O112" s="218">
        <f>O113</f>
        <v>0</v>
      </c>
      <c r="P112" s="224"/>
      <c r="Q112" s="224"/>
    </row>
    <row r="113" spans="1:17" s="50" customFormat="1" ht="51" hidden="1" customHeight="1" x14ac:dyDescent="0.3">
      <c r="A113" s="44"/>
      <c r="B113" s="177"/>
      <c r="C113" s="177"/>
      <c r="D113" s="177"/>
      <c r="E113" s="177"/>
      <c r="F113" s="296"/>
      <c r="G113" s="51" t="s">
        <v>10</v>
      </c>
      <c r="H113" s="51"/>
      <c r="I113" s="52"/>
      <c r="J113" s="48">
        <v>400</v>
      </c>
      <c r="K113" s="49"/>
      <c r="L113" s="49"/>
      <c r="M113" s="238"/>
      <c r="N113" s="49"/>
      <c r="O113" s="218"/>
      <c r="P113" s="224"/>
      <c r="Q113" s="224"/>
    </row>
    <row r="114" spans="1:17" s="50" customFormat="1" ht="51" customHeight="1" x14ac:dyDescent="0.3">
      <c r="A114" s="44"/>
      <c r="B114" s="177"/>
      <c r="C114" s="177"/>
      <c r="D114" s="177"/>
      <c r="E114" s="177"/>
      <c r="F114" s="306"/>
      <c r="G114" s="14" t="s">
        <v>643</v>
      </c>
      <c r="H114" s="51"/>
      <c r="I114" s="279" t="s">
        <v>641</v>
      </c>
      <c r="J114" s="48"/>
      <c r="K114" s="49"/>
      <c r="L114" s="49"/>
      <c r="M114" s="238"/>
      <c r="N114" s="49"/>
      <c r="O114" s="218">
        <f>O115</f>
        <v>0</v>
      </c>
      <c r="P114" s="224"/>
      <c r="Q114" s="224"/>
    </row>
    <row r="115" spans="1:17" s="50" customFormat="1" ht="51" customHeight="1" x14ac:dyDescent="0.3">
      <c r="A115" s="44"/>
      <c r="B115" s="177"/>
      <c r="C115" s="177"/>
      <c r="D115" s="177"/>
      <c r="E115" s="177"/>
      <c r="F115" s="306"/>
      <c r="G115" s="14" t="s">
        <v>644</v>
      </c>
      <c r="H115" s="51"/>
      <c r="I115" s="166" t="s">
        <v>640</v>
      </c>
      <c r="J115" s="48"/>
      <c r="K115" s="49"/>
      <c r="L115" s="49"/>
      <c r="M115" s="238"/>
      <c r="N115" s="49"/>
      <c r="O115" s="218">
        <f>O116</f>
        <v>0</v>
      </c>
      <c r="P115" s="224"/>
      <c r="Q115" s="224"/>
    </row>
    <row r="116" spans="1:17" s="50" customFormat="1" ht="51" customHeight="1" x14ac:dyDescent="0.3">
      <c r="A116" s="44"/>
      <c r="B116" s="177"/>
      <c r="C116" s="177"/>
      <c r="D116" s="177"/>
      <c r="E116" s="177"/>
      <c r="F116" s="306"/>
      <c r="G116" s="51" t="s">
        <v>4</v>
      </c>
      <c r="H116" s="51"/>
      <c r="I116" s="52"/>
      <c r="J116" s="48">
        <v>600</v>
      </c>
      <c r="K116" s="49"/>
      <c r="L116" s="49"/>
      <c r="M116" s="238"/>
      <c r="N116" s="49"/>
      <c r="O116" s="271"/>
      <c r="P116" s="224"/>
      <c r="Q116" s="224"/>
    </row>
    <row r="117" spans="1:17" s="50" customFormat="1" ht="39" customHeight="1" x14ac:dyDescent="0.3">
      <c r="A117" s="44"/>
      <c r="B117" s="158"/>
      <c r="C117" s="158"/>
      <c r="D117" s="158"/>
      <c r="E117" s="158"/>
      <c r="F117" s="159"/>
      <c r="G117" s="2" t="s">
        <v>681</v>
      </c>
      <c r="H117" s="51"/>
      <c r="I117" s="60" t="s">
        <v>424</v>
      </c>
      <c r="J117" s="48"/>
      <c r="K117" s="127">
        <f>K118</f>
        <v>429518</v>
      </c>
      <c r="L117" s="127">
        <f>L118</f>
        <v>0</v>
      </c>
      <c r="M117" s="239">
        <f>M118</f>
        <v>201000</v>
      </c>
      <c r="N117" s="127">
        <f>N118</f>
        <v>0</v>
      </c>
      <c r="O117" s="251">
        <f>O118</f>
        <v>472177</v>
      </c>
      <c r="P117" s="224"/>
      <c r="Q117" s="265"/>
    </row>
    <row r="118" spans="1:17" s="50" customFormat="1" ht="66.75" customHeight="1" x14ac:dyDescent="0.3">
      <c r="A118" s="44"/>
      <c r="B118" s="158"/>
      <c r="C118" s="158"/>
      <c r="D118" s="158"/>
      <c r="E118" s="158"/>
      <c r="F118" s="159"/>
      <c r="G118" s="2" t="s">
        <v>682</v>
      </c>
      <c r="H118" s="51"/>
      <c r="I118" s="47" t="s">
        <v>425</v>
      </c>
      <c r="J118" s="48"/>
      <c r="K118" s="49">
        <f>K119+K128+K131</f>
        <v>429518</v>
      </c>
      <c r="L118" s="49">
        <f>L119+L123</f>
        <v>0</v>
      </c>
      <c r="M118" s="238">
        <f>M119+M123</f>
        <v>201000</v>
      </c>
      <c r="N118" s="49">
        <f>N119+N128+N131</f>
        <v>0</v>
      </c>
      <c r="O118" s="218">
        <f>O119+O128+O137</f>
        <v>472177</v>
      </c>
      <c r="P118" s="224"/>
      <c r="Q118" s="224"/>
    </row>
    <row r="119" spans="1:17" s="50" customFormat="1" ht="51.75" customHeight="1" x14ac:dyDescent="0.3">
      <c r="A119" s="44"/>
      <c r="B119" s="158"/>
      <c r="C119" s="158"/>
      <c r="D119" s="158"/>
      <c r="E119" s="158"/>
      <c r="F119" s="159"/>
      <c r="G119" s="63" t="s">
        <v>256</v>
      </c>
      <c r="H119" s="51"/>
      <c r="I119" s="64" t="s">
        <v>426</v>
      </c>
      <c r="J119" s="48"/>
      <c r="K119" s="49">
        <f>K120</f>
        <v>201000</v>
      </c>
      <c r="L119" s="49">
        <f>L120</f>
        <v>0</v>
      </c>
      <c r="M119" s="238">
        <f>M120</f>
        <v>201000</v>
      </c>
      <c r="N119" s="49">
        <f>N120</f>
        <v>0</v>
      </c>
      <c r="O119" s="218">
        <f>O120</f>
        <v>201000</v>
      </c>
      <c r="P119" s="224"/>
      <c r="Q119" s="224"/>
    </row>
    <row r="120" spans="1:17" s="50" customFormat="1" ht="64.5" customHeight="1" x14ac:dyDescent="0.3">
      <c r="A120" s="44"/>
      <c r="B120" s="158"/>
      <c r="C120" s="158"/>
      <c r="D120" s="158"/>
      <c r="E120" s="158"/>
      <c r="F120" s="159"/>
      <c r="G120" s="14" t="s">
        <v>683</v>
      </c>
      <c r="H120" s="51"/>
      <c r="I120" s="47" t="s">
        <v>427</v>
      </c>
      <c r="J120" s="48"/>
      <c r="K120" s="49">
        <f>K121+K122</f>
        <v>201000</v>
      </c>
      <c r="L120" s="49">
        <f>L121+L122</f>
        <v>0</v>
      </c>
      <c r="M120" s="238">
        <f>M121+M122</f>
        <v>201000</v>
      </c>
      <c r="N120" s="49">
        <f>N121+N122</f>
        <v>0</v>
      </c>
      <c r="O120" s="218">
        <f>O121+O122</f>
        <v>201000</v>
      </c>
      <c r="P120" s="224"/>
      <c r="Q120" s="224"/>
    </row>
    <row r="121" spans="1:17" s="50" customFormat="1" ht="33" customHeight="1" x14ac:dyDescent="0.3">
      <c r="A121" s="44"/>
      <c r="B121" s="175"/>
      <c r="C121" s="175"/>
      <c r="D121" s="175"/>
      <c r="E121" s="175"/>
      <c r="F121" s="176"/>
      <c r="G121" s="51" t="s">
        <v>2</v>
      </c>
      <c r="H121" s="51"/>
      <c r="I121" s="47"/>
      <c r="J121" s="48">
        <v>200</v>
      </c>
      <c r="K121" s="49">
        <v>91000</v>
      </c>
      <c r="L121" s="49"/>
      <c r="M121" s="238">
        <f>K121+L121</f>
        <v>91000</v>
      </c>
      <c r="N121" s="49"/>
      <c r="O121" s="49">
        <v>91000</v>
      </c>
      <c r="P121" s="224"/>
      <c r="Q121" s="224"/>
    </row>
    <row r="122" spans="1:17" s="50" customFormat="1" ht="35.4" customHeight="1" x14ac:dyDescent="0.3">
      <c r="A122" s="44"/>
      <c r="B122" s="158"/>
      <c r="C122" s="158"/>
      <c r="D122" s="158"/>
      <c r="E122" s="158"/>
      <c r="F122" s="159"/>
      <c r="G122" s="51" t="s">
        <v>4</v>
      </c>
      <c r="H122" s="51"/>
      <c r="I122" s="52"/>
      <c r="J122" s="48">
        <v>600</v>
      </c>
      <c r="K122" s="49">
        <v>110000</v>
      </c>
      <c r="L122" s="49">
        <v>0</v>
      </c>
      <c r="M122" s="238">
        <f>K122+L122</f>
        <v>110000</v>
      </c>
      <c r="N122" s="49"/>
      <c r="O122" s="218">
        <v>110000</v>
      </c>
      <c r="P122" s="224"/>
      <c r="Q122" s="224"/>
    </row>
    <row r="123" spans="1:17" s="50" customFormat="1" ht="35.1" hidden="1" customHeight="1" x14ac:dyDescent="0.3">
      <c r="A123" s="44"/>
      <c r="B123" s="177"/>
      <c r="C123" s="177"/>
      <c r="D123" s="177"/>
      <c r="E123" s="177"/>
      <c r="F123" s="193"/>
      <c r="G123" s="63" t="s">
        <v>474</v>
      </c>
      <c r="H123" s="51"/>
      <c r="I123" s="123" t="s">
        <v>477</v>
      </c>
      <c r="J123" s="48"/>
      <c r="K123" s="49">
        <f>K124+K126</f>
        <v>0</v>
      </c>
      <c r="L123" s="49">
        <f>L124+L126</f>
        <v>0</v>
      </c>
      <c r="M123" s="238">
        <f>M124+M126</f>
        <v>0</v>
      </c>
      <c r="N123" s="49"/>
      <c r="O123" s="218"/>
      <c r="P123" s="224"/>
      <c r="Q123" s="224"/>
    </row>
    <row r="124" spans="1:17" s="50" customFormat="1" ht="50.4" hidden="1" customHeight="1" x14ac:dyDescent="0.3">
      <c r="A124" s="44"/>
      <c r="B124" s="177"/>
      <c r="C124" s="177"/>
      <c r="D124" s="177"/>
      <c r="E124" s="177"/>
      <c r="F124" s="193"/>
      <c r="G124" s="51" t="s">
        <v>475</v>
      </c>
      <c r="H124" s="51"/>
      <c r="I124" s="52" t="s">
        <v>476</v>
      </c>
      <c r="J124" s="48"/>
      <c r="K124" s="49">
        <f>K125</f>
        <v>0</v>
      </c>
      <c r="L124" s="49">
        <f>L125</f>
        <v>0</v>
      </c>
      <c r="M124" s="238">
        <f>M125</f>
        <v>0</v>
      </c>
      <c r="N124" s="49"/>
      <c r="O124" s="218"/>
      <c r="P124" s="224"/>
      <c r="Q124" s="224"/>
    </row>
    <row r="125" spans="1:17" s="50" customFormat="1" ht="35.1" hidden="1" customHeight="1" x14ac:dyDescent="0.3">
      <c r="A125" s="44"/>
      <c r="B125" s="177"/>
      <c r="C125" s="177"/>
      <c r="D125" s="177"/>
      <c r="E125" s="177"/>
      <c r="F125" s="193"/>
      <c r="G125" s="51" t="s">
        <v>4</v>
      </c>
      <c r="H125" s="51"/>
      <c r="I125" s="52"/>
      <c r="J125" s="48">
        <v>600</v>
      </c>
      <c r="K125" s="49"/>
      <c r="L125" s="49">
        <v>0</v>
      </c>
      <c r="M125" s="238">
        <f>K125+L125</f>
        <v>0</v>
      </c>
      <c r="N125" s="49"/>
      <c r="O125" s="218"/>
      <c r="P125" s="224"/>
      <c r="Q125" s="224"/>
    </row>
    <row r="126" spans="1:17" s="50" customFormat="1" ht="50.1" hidden="1" customHeight="1" x14ac:dyDescent="0.3">
      <c r="A126" s="44"/>
      <c r="B126" s="177"/>
      <c r="C126" s="177"/>
      <c r="D126" s="177"/>
      <c r="E126" s="177"/>
      <c r="F126" s="194"/>
      <c r="G126" s="51" t="s">
        <v>484</v>
      </c>
      <c r="H126" s="51"/>
      <c r="I126" s="52" t="s">
        <v>485</v>
      </c>
      <c r="J126" s="48"/>
      <c r="K126" s="49">
        <f>K127</f>
        <v>0</v>
      </c>
      <c r="L126" s="49">
        <f>L127</f>
        <v>0</v>
      </c>
      <c r="M126" s="238">
        <f>M127</f>
        <v>0</v>
      </c>
      <c r="N126" s="49"/>
      <c r="O126" s="218"/>
      <c r="P126" s="224"/>
      <c r="Q126" s="224"/>
    </row>
    <row r="127" spans="1:17" s="50" customFormat="1" ht="35.1" hidden="1" customHeight="1" x14ac:dyDescent="0.3">
      <c r="A127" s="44"/>
      <c r="B127" s="177"/>
      <c r="C127" s="177"/>
      <c r="D127" s="177"/>
      <c r="E127" s="177"/>
      <c r="F127" s="194"/>
      <c r="G127" s="51" t="s">
        <v>4</v>
      </c>
      <c r="H127" s="51"/>
      <c r="I127" s="52"/>
      <c r="J127" s="48">
        <v>600</v>
      </c>
      <c r="K127" s="49"/>
      <c r="L127" s="49"/>
      <c r="M127" s="238">
        <f>K127+L127</f>
        <v>0</v>
      </c>
      <c r="N127" s="49"/>
      <c r="O127" s="218"/>
      <c r="P127" s="224"/>
      <c r="Q127" s="224"/>
    </row>
    <row r="128" spans="1:17" s="50" customFormat="1" ht="35.1" hidden="1" customHeight="1" x14ac:dyDescent="0.3">
      <c r="A128" s="44"/>
      <c r="B128" s="177"/>
      <c r="C128" s="177"/>
      <c r="D128" s="177"/>
      <c r="E128" s="177"/>
      <c r="F128" s="211"/>
      <c r="G128" s="63" t="s">
        <v>474</v>
      </c>
      <c r="H128" s="51"/>
      <c r="I128" s="64" t="s">
        <v>477</v>
      </c>
      <c r="J128" s="48"/>
      <c r="K128" s="49">
        <f>K129</f>
        <v>0</v>
      </c>
      <c r="L128" s="49"/>
      <c r="M128" s="238"/>
      <c r="N128" s="49"/>
      <c r="O128" s="218"/>
      <c r="P128" s="224"/>
      <c r="Q128" s="224"/>
    </row>
    <row r="129" spans="1:17" s="50" customFormat="1" ht="48.6" hidden="1" customHeight="1" x14ac:dyDescent="0.3">
      <c r="A129" s="44"/>
      <c r="B129" s="177"/>
      <c r="C129" s="177"/>
      <c r="D129" s="177"/>
      <c r="E129" s="177"/>
      <c r="F129" s="211"/>
      <c r="G129" s="51" t="s">
        <v>484</v>
      </c>
      <c r="H129" s="51"/>
      <c r="I129" s="47" t="s">
        <v>530</v>
      </c>
      <c r="J129" s="48"/>
      <c r="K129" s="49">
        <f>K130</f>
        <v>0</v>
      </c>
      <c r="L129" s="49"/>
      <c r="M129" s="238"/>
      <c r="N129" s="49"/>
      <c r="O129" s="218"/>
      <c r="P129" s="224"/>
      <c r="Q129" s="224"/>
    </row>
    <row r="130" spans="1:17" s="50" customFormat="1" ht="35.1" hidden="1" customHeight="1" x14ac:dyDescent="0.3">
      <c r="A130" s="44"/>
      <c r="B130" s="177"/>
      <c r="C130" s="177"/>
      <c r="D130" s="177"/>
      <c r="E130" s="177"/>
      <c r="F130" s="211"/>
      <c r="G130" s="51" t="s">
        <v>4</v>
      </c>
      <c r="H130" s="51"/>
      <c r="I130" s="52"/>
      <c r="J130" s="48">
        <v>600</v>
      </c>
      <c r="K130" s="49"/>
      <c r="L130" s="49"/>
      <c r="M130" s="238"/>
      <c r="N130" s="49"/>
      <c r="O130" s="218"/>
      <c r="P130" s="224"/>
      <c r="Q130" s="224"/>
    </row>
    <row r="131" spans="1:17" s="50" customFormat="1" ht="50.1" hidden="1" customHeight="1" x14ac:dyDescent="0.3">
      <c r="A131" s="44"/>
      <c r="B131" s="177"/>
      <c r="C131" s="177"/>
      <c r="D131" s="177"/>
      <c r="E131" s="177"/>
      <c r="F131" s="229"/>
      <c r="G131" s="63" t="s">
        <v>474</v>
      </c>
      <c r="H131" s="51"/>
      <c r="I131" s="64" t="s">
        <v>477</v>
      </c>
      <c r="J131" s="48"/>
      <c r="K131" s="49">
        <f>K132+K134</f>
        <v>228518</v>
      </c>
      <c r="L131" s="49"/>
      <c r="M131" s="238"/>
      <c r="N131" s="49">
        <f>N132+N134</f>
        <v>0</v>
      </c>
      <c r="O131" s="218">
        <f>O132+O134</f>
        <v>0</v>
      </c>
      <c r="P131" s="224"/>
      <c r="Q131" s="224"/>
    </row>
    <row r="132" spans="1:17" s="50" customFormat="1" ht="62.4" hidden="1" customHeight="1" x14ac:dyDescent="0.3">
      <c r="A132" s="44"/>
      <c r="B132" s="177"/>
      <c r="C132" s="177"/>
      <c r="D132" s="177"/>
      <c r="E132" s="177"/>
      <c r="F132" s="229"/>
      <c r="G132" s="51" t="s">
        <v>484</v>
      </c>
      <c r="H132" s="51"/>
      <c r="I132" s="47" t="s">
        <v>530</v>
      </c>
      <c r="J132" s="48"/>
      <c r="K132" s="49">
        <f>K133</f>
        <v>216518</v>
      </c>
      <c r="L132" s="49"/>
      <c r="M132" s="238"/>
      <c r="N132" s="49">
        <f>N133</f>
        <v>0</v>
      </c>
      <c r="O132" s="218">
        <f>O133</f>
        <v>0</v>
      </c>
      <c r="P132" s="224"/>
      <c r="Q132" s="224"/>
    </row>
    <row r="133" spans="1:17" s="50" customFormat="1" ht="54" hidden="1" customHeight="1" x14ac:dyDescent="0.3">
      <c r="A133" s="44"/>
      <c r="B133" s="177"/>
      <c r="C133" s="177"/>
      <c r="D133" s="177"/>
      <c r="E133" s="177"/>
      <c r="F133" s="229"/>
      <c r="G133" s="51" t="s">
        <v>4</v>
      </c>
      <c r="H133" s="51"/>
      <c r="I133" s="52"/>
      <c r="J133" s="48">
        <v>600</v>
      </c>
      <c r="K133" s="49">
        <v>216518</v>
      </c>
      <c r="L133" s="49"/>
      <c r="M133" s="238"/>
      <c r="N133" s="49">
        <v>0</v>
      </c>
      <c r="O133" s="218"/>
      <c r="P133" s="224"/>
      <c r="Q133" s="224"/>
    </row>
    <row r="134" spans="1:17" s="50" customFormat="1" ht="68.400000000000006" hidden="1" customHeight="1" x14ac:dyDescent="0.3">
      <c r="A134" s="44"/>
      <c r="B134" s="177"/>
      <c r="C134" s="177"/>
      <c r="D134" s="177"/>
      <c r="E134" s="177"/>
      <c r="F134" s="229"/>
      <c r="G134" s="51" t="s">
        <v>561</v>
      </c>
      <c r="H134" s="51"/>
      <c r="I134" s="52" t="s">
        <v>560</v>
      </c>
      <c r="J134" s="48"/>
      <c r="K134" s="49">
        <f>K135</f>
        <v>12000</v>
      </c>
      <c r="L134" s="49"/>
      <c r="M134" s="238"/>
      <c r="N134" s="49">
        <f>N135</f>
        <v>0</v>
      </c>
      <c r="O134" s="218">
        <f>O135</f>
        <v>0</v>
      </c>
      <c r="P134" s="224"/>
      <c r="Q134" s="224"/>
    </row>
    <row r="135" spans="1:17" s="50" customFormat="1" ht="52.5" hidden="1" customHeight="1" x14ac:dyDescent="0.3">
      <c r="A135" s="44"/>
      <c r="B135" s="177"/>
      <c r="C135" s="177"/>
      <c r="D135" s="177"/>
      <c r="E135" s="177"/>
      <c r="F135" s="229"/>
      <c r="G135" s="51" t="s">
        <v>4</v>
      </c>
      <c r="H135" s="51"/>
      <c r="I135" s="52"/>
      <c r="J135" s="48">
        <v>600</v>
      </c>
      <c r="K135" s="49">
        <v>12000</v>
      </c>
      <c r="L135" s="49"/>
      <c r="M135" s="238"/>
      <c r="N135" s="49"/>
      <c r="O135" s="218"/>
      <c r="P135" s="224"/>
      <c r="Q135" s="224"/>
    </row>
    <row r="136" spans="1:17" s="50" customFormat="1" ht="21.6" hidden="1" customHeight="1" x14ac:dyDescent="0.3">
      <c r="A136" s="44"/>
      <c r="B136" s="67"/>
      <c r="C136" s="67"/>
      <c r="D136" s="67"/>
      <c r="E136" s="67"/>
      <c r="F136" s="68"/>
      <c r="G136" s="121" t="s">
        <v>8</v>
      </c>
      <c r="H136" s="51"/>
      <c r="I136" s="125" t="s">
        <v>302</v>
      </c>
      <c r="J136" s="48"/>
      <c r="K136" s="127">
        <f>K143</f>
        <v>1460000</v>
      </c>
      <c r="L136" s="49"/>
      <c r="M136" s="239">
        <f>M143</f>
        <v>1459500</v>
      </c>
      <c r="N136" s="127">
        <f>N143</f>
        <v>0</v>
      </c>
      <c r="O136" s="251">
        <f>O143</f>
        <v>2075000</v>
      </c>
      <c r="P136" s="224"/>
      <c r="Q136" s="224"/>
    </row>
    <row r="137" spans="1:17" s="50" customFormat="1" ht="36.9" customHeight="1" x14ac:dyDescent="0.3">
      <c r="A137" s="44"/>
      <c r="B137" s="177"/>
      <c r="C137" s="177"/>
      <c r="D137" s="177"/>
      <c r="E137" s="177"/>
      <c r="F137" s="291"/>
      <c r="G137" s="63" t="s">
        <v>474</v>
      </c>
      <c r="H137" s="51"/>
      <c r="I137" s="123" t="s">
        <v>477</v>
      </c>
      <c r="J137" s="48"/>
      <c r="K137" s="127"/>
      <c r="L137" s="49"/>
      <c r="M137" s="239"/>
      <c r="N137" s="127"/>
      <c r="O137" s="218">
        <f>O138+O140</f>
        <v>271177</v>
      </c>
      <c r="P137" s="224"/>
      <c r="Q137" s="224"/>
    </row>
    <row r="138" spans="1:17" s="50" customFormat="1" ht="54" customHeight="1" x14ac:dyDescent="0.3">
      <c r="A138" s="44"/>
      <c r="B138" s="177"/>
      <c r="C138" s="177"/>
      <c r="D138" s="177"/>
      <c r="E138" s="177"/>
      <c r="F138" s="291"/>
      <c r="G138" s="51" t="s">
        <v>484</v>
      </c>
      <c r="H138" s="51"/>
      <c r="I138" s="47" t="s">
        <v>530</v>
      </c>
      <c r="J138" s="48"/>
      <c r="K138" s="127"/>
      <c r="L138" s="49"/>
      <c r="M138" s="239"/>
      <c r="N138" s="127"/>
      <c r="O138" s="218">
        <f>O139</f>
        <v>241077</v>
      </c>
      <c r="P138" s="224"/>
      <c r="Q138" s="224"/>
    </row>
    <row r="139" spans="1:17" s="50" customFormat="1" ht="42.75" customHeight="1" x14ac:dyDescent="0.3">
      <c r="A139" s="44"/>
      <c r="B139" s="177"/>
      <c r="C139" s="177"/>
      <c r="D139" s="177"/>
      <c r="E139" s="177"/>
      <c r="F139" s="291"/>
      <c r="G139" s="51" t="s">
        <v>4</v>
      </c>
      <c r="H139" s="51"/>
      <c r="I139" s="125"/>
      <c r="J139" s="48">
        <v>600</v>
      </c>
      <c r="K139" s="127"/>
      <c r="L139" s="49"/>
      <c r="M139" s="239"/>
      <c r="N139" s="127"/>
      <c r="O139" s="218">
        <v>241077</v>
      </c>
      <c r="P139" s="224"/>
      <c r="Q139" s="224"/>
    </row>
    <row r="140" spans="1:17" s="50" customFormat="1" ht="54.75" customHeight="1" x14ac:dyDescent="0.3">
      <c r="A140" s="44"/>
      <c r="B140" s="177"/>
      <c r="C140" s="177"/>
      <c r="D140" s="177"/>
      <c r="E140" s="177"/>
      <c r="F140" s="291"/>
      <c r="G140" s="51" t="s">
        <v>561</v>
      </c>
      <c r="H140" s="51"/>
      <c r="I140" s="52" t="s">
        <v>560</v>
      </c>
      <c r="J140" s="48"/>
      <c r="K140" s="127"/>
      <c r="L140" s="49"/>
      <c r="M140" s="239"/>
      <c r="N140" s="127"/>
      <c r="O140" s="218">
        <f>O141</f>
        <v>30100</v>
      </c>
      <c r="P140" s="224"/>
      <c r="Q140" s="224"/>
    </row>
    <row r="141" spans="1:17" s="50" customFormat="1" ht="40.5" customHeight="1" x14ac:dyDescent="0.3">
      <c r="A141" s="44"/>
      <c r="B141" s="177"/>
      <c r="C141" s="177"/>
      <c r="D141" s="177"/>
      <c r="E141" s="177"/>
      <c r="F141" s="291"/>
      <c r="G141" s="51" t="s">
        <v>4</v>
      </c>
      <c r="H141" s="51"/>
      <c r="I141" s="125"/>
      <c r="J141" s="48">
        <v>600</v>
      </c>
      <c r="K141" s="127"/>
      <c r="L141" s="49"/>
      <c r="M141" s="239"/>
      <c r="N141" s="127"/>
      <c r="O141" s="271">
        <v>30100</v>
      </c>
      <c r="P141" s="224"/>
      <c r="Q141" s="224"/>
    </row>
    <row r="142" spans="1:17" s="50" customFormat="1" ht="24" customHeight="1" x14ac:dyDescent="0.3">
      <c r="A142" s="44"/>
      <c r="B142" s="177"/>
      <c r="C142" s="177"/>
      <c r="D142" s="177"/>
      <c r="E142" s="177"/>
      <c r="F142" s="296"/>
      <c r="G142" s="121" t="s">
        <v>8</v>
      </c>
      <c r="H142" s="51"/>
      <c r="I142" s="125" t="s">
        <v>302</v>
      </c>
      <c r="J142" s="48"/>
      <c r="K142" s="127"/>
      <c r="L142" s="49"/>
      <c r="M142" s="239"/>
      <c r="N142" s="127"/>
      <c r="O142" s="251">
        <f>O143</f>
        <v>2075000</v>
      </c>
      <c r="P142" s="224"/>
      <c r="Q142" s="224"/>
    </row>
    <row r="143" spans="1:17" s="50" customFormat="1" ht="35.4" customHeight="1" x14ac:dyDescent="0.3">
      <c r="A143" s="44"/>
      <c r="B143" s="67"/>
      <c r="C143" s="67"/>
      <c r="D143" s="67"/>
      <c r="E143" s="67"/>
      <c r="F143" s="68"/>
      <c r="G143" s="51" t="s">
        <v>80</v>
      </c>
      <c r="H143" s="51"/>
      <c r="I143" s="52" t="s">
        <v>312</v>
      </c>
      <c r="J143" s="48"/>
      <c r="K143" s="49">
        <f>K144+K145+K146</f>
        <v>1460000</v>
      </c>
      <c r="L143" s="49"/>
      <c r="M143" s="238">
        <f>M144+M145+M146</f>
        <v>1459500</v>
      </c>
      <c r="N143" s="49">
        <f>N144+N145+N146</f>
        <v>0</v>
      </c>
      <c r="O143" s="218">
        <f>O144+O145+O146</f>
        <v>2075000</v>
      </c>
      <c r="P143" s="224"/>
      <c r="Q143" s="224"/>
    </row>
    <row r="144" spans="1:17" s="50" customFormat="1" ht="69.599999999999994" customHeight="1" x14ac:dyDescent="0.3">
      <c r="A144" s="44"/>
      <c r="B144" s="67"/>
      <c r="C144" s="67"/>
      <c r="D144" s="67"/>
      <c r="E144" s="67"/>
      <c r="F144" s="68"/>
      <c r="G144" s="51" t="s">
        <v>3</v>
      </c>
      <c r="H144" s="51"/>
      <c r="I144" s="125"/>
      <c r="J144" s="48">
        <v>100</v>
      </c>
      <c r="K144" s="49">
        <v>1390100</v>
      </c>
      <c r="L144" s="49"/>
      <c r="M144" s="238">
        <v>1390100</v>
      </c>
      <c r="N144" s="49"/>
      <c r="O144" s="271">
        <v>2003000</v>
      </c>
      <c r="P144" s="224"/>
      <c r="Q144" s="224"/>
    </row>
    <row r="145" spans="1:17" s="50" customFormat="1" ht="38.25" customHeight="1" x14ac:dyDescent="0.3">
      <c r="A145" s="44"/>
      <c r="B145" s="67"/>
      <c r="C145" s="67"/>
      <c r="D145" s="67"/>
      <c r="E145" s="67"/>
      <c r="F145" s="68"/>
      <c r="G145" s="51" t="s">
        <v>2</v>
      </c>
      <c r="H145" s="51"/>
      <c r="I145" s="125"/>
      <c r="J145" s="48">
        <v>200</v>
      </c>
      <c r="K145" s="49">
        <v>65900</v>
      </c>
      <c r="L145" s="49"/>
      <c r="M145" s="238">
        <v>64400</v>
      </c>
      <c r="N145" s="49"/>
      <c r="O145" s="271">
        <v>68000</v>
      </c>
      <c r="P145" s="224"/>
      <c r="Q145" s="224"/>
    </row>
    <row r="146" spans="1:17" s="50" customFormat="1" ht="22.5" customHeight="1" x14ac:dyDescent="0.3">
      <c r="A146" s="44"/>
      <c r="B146" s="67"/>
      <c r="C146" s="67"/>
      <c r="D146" s="67"/>
      <c r="E146" s="67"/>
      <c r="F146" s="68"/>
      <c r="G146" s="51" t="s">
        <v>1</v>
      </c>
      <c r="H146" s="51"/>
      <c r="I146" s="125"/>
      <c r="J146" s="48">
        <v>800</v>
      </c>
      <c r="K146" s="49">
        <v>4000</v>
      </c>
      <c r="L146" s="49"/>
      <c r="M146" s="238">
        <v>5000</v>
      </c>
      <c r="N146" s="49"/>
      <c r="O146" s="218">
        <v>4000</v>
      </c>
      <c r="P146" s="224"/>
      <c r="Q146" s="224"/>
    </row>
    <row r="147" spans="1:17" s="50" customFormat="1" ht="38.85" customHeight="1" x14ac:dyDescent="0.3">
      <c r="A147" s="44"/>
      <c r="B147" s="67"/>
      <c r="C147" s="67"/>
      <c r="D147" s="67"/>
      <c r="E147" s="67"/>
      <c r="F147" s="68"/>
      <c r="G147" s="121" t="s">
        <v>382</v>
      </c>
      <c r="H147" s="126">
        <v>803</v>
      </c>
      <c r="I147" s="125"/>
      <c r="J147" s="48"/>
      <c r="K147" s="127">
        <f>K148+K229+K255+K264+K276+K287+K293</f>
        <v>265016558</v>
      </c>
      <c r="L147" s="127">
        <f>L148+L229+L255+L264+L276+L287+L293</f>
        <v>484737</v>
      </c>
      <c r="M147" s="239">
        <f>M148+M229+M255+M264+M276+M287+M293</f>
        <v>249829443</v>
      </c>
      <c r="N147" s="127">
        <f>N148+N229+N255+N264+N276+N287+N293</f>
        <v>2000000</v>
      </c>
      <c r="O147" s="251">
        <f>O148+O229+O255+O264+O276+O287+O293</f>
        <v>316336060</v>
      </c>
      <c r="P147" s="265"/>
      <c r="Q147" s="265"/>
    </row>
    <row r="148" spans="1:17" s="50" customFormat="1" ht="47.1" customHeight="1" x14ac:dyDescent="0.3">
      <c r="A148" s="44"/>
      <c r="B148" s="67"/>
      <c r="C148" s="67"/>
      <c r="D148" s="67"/>
      <c r="E148" s="67"/>
      <c r="F148" s="68"/>
      <c r="G148" s="332" t="s">
        <v>684</v>
      </c>
      <c r="H148" s="126"/>
      <c r="I148" s="60" t="s">
        <v>344</v>
      </c>
      <c r="J148" s="48"/>
      <c r="K148" s="127">
        <f t="shared" ref="K148:O148" si="7">K149</f>
        <v>259099311</v>
      </c>
      <c r="L148" s="127">
        <f t="shared" si="7"/>
        <v>484737</v>
      </c>
      <c r="M148" s="239">
        <f t="shared" si="7"/>
        <v>244792340</v>
      </c>
      <c r="N148" s="127">
        <f t="shared" si="7"/>
        <v>2000000</v>
      </c>
      <c r="O148" s="251">
        <f t="shared" si="7"/>
        <v>309471936</v>
      </c>
      <c r="P148" s="265"/>
      <c r="Q148" s="265"/>
    </row>
    <row r="149" spans="1:17" s="50" customFormat="1" ht="68.400000000000006" customHeight="1" x14ac:dyDescent="0.3">
      <c r="A149" s="44"/>
      <c r="B149" s="71"/>
      <c r="C149" s="71"/>
      <c r="D149" s="71"/>
      <c r="E149" s="71"/>
      <c r="F149" s="72"/>
      <c r="G149" s="333" t="s">
        <v>685</v>
      </c>
      <c r="H149" s="126"/>
      <c r="I149" s="47" t="s">
        <v>343</v>
      </c>
      <c r="J149" s="48"/>
      <c r="K149" s="49">
        <f>K150+K189+K207+K214</f>
        <v>259099311</v>
      </c>
      <c r="L149" s="49">
        <f>L150+L189</f>
        <v>484737</v>
      </c>
      <c r="M149" s="238">
        <f>M150+M189</f>
        <v>244792340</v>
      </c>
      <c r="N149" s="49">
        <f>N150+N189+N207+N214</f>
        <v>2000000</v>
      </c>
      <c r="O149" s="218">
        <f>O150+O189+O207+O214+O221+O224</f>
        <v>309471936</v>
      </c>
      <c r="P149" s="224"/>
      <c r="Q149" s="224"/>
    </row>
    <row r="150" spans="1:17" ht="23.1" customHeight="1" x14ac:dyDescent="0.3">
      <c r="A150" s="4"/>
      <c r="B150" s="10"/>
      <c r="C150" s="10"/>
      <c r="D150" s="10"/>
      <c r="E150" s="10"/>
      <c r="F150" s="11"/>
      <c r="G150" s="63" t="s">
        <v>247</v>
      </c>
      <c r="H150" s="63"/>
      <c r="I150" s="64" t="s">
        <v>181</v>
      </c>
      <c r="J150" s="124"/>
      <c r="K150" s="49">
        <f>K153+K157+K161+K164+K171+K173+K179+K181+K183+K169+K151</f>
        <v>211651883</v>
      </c>
      <c r="L150" s="49">
        <f>L153+L157+L161+L164+L171+L173+L179+L181+L183+L169</f>
        <v>484737</v>
      </c>
      <c r="M150" s="238">
        <f>M153+M157+M161+M164+M171+M173+M179+M181+M183+M169</f>
        <v>207363597</v>
      </c>
      <c r="N150" s="49">
        <f>N153+N157+N161+N164+N171+N173+N179+N181+N183+N169+N151</f>
        <v>2000000</v>
      </c>
      <c r="O150" s="218">
        <f>O153+O157+O161+O164+O171+O173+O179+O181+O183+O169+O151+O185+O187+O175+O177</f>
        <v>255451748</v>
      </c>
      <c r="P150" s="224"/>
      <c r="Q150" s="224"/>
    </row>
    <row r="151" spans="1:17" ht="35.25" customHeight="1" x14ac:dyDescent="0.3">
      <c r="A151" s="4"/>
      <c r="B151" s="10"/>
      <c r="C151" s="10"/>
      <c r="D151" s="10"/>
      <c r="E151" s="10"/>
      <c r="F151" s="11"/>
      <c r="G151" s="51" t="s">
        <v>563</v>
      </c>
      <c r="H151" s="63"/>
      <c r="I151" s="79" t="s">
        <v>562</v>
      </c>
      <c r="J151" s="124"/>
      <c r="K151" s="49">
        <f>K152</f>
        <v>6336882</v>
      </c>
      <c r="L151" s="49"/>
      <c r="M151" s="238"/>
      <c r="N151" s="49">
        <f>N152</f>
        <v>0</v>
      </c>
      <c r="O151" s="218">
        <f>O152</f>
        <v>6562080</v>
      </c>
      <c r="P151" s="224"/>
      <c r="Q151" s="224"/>
    </row>
    <row r="152" spans="1:17" ht="39.9" customHeight="1" x14ac:dyDescent="0.3">
      <c r="A152" s="4"/>
      <c r="B152" s="10"/>
      <c r="C152" s="10"/>
      <c r="D152" s="10"/>
      <c r="E152" s="10"/>
      <c r="F152" s="11"/>
      <c r="G152" s="51" t="s">
        <v>4</v>
      </c>
      <c r="H152" s="63"/>
      <c r="I152" s="64"/>
      <c r="J152" s="48">
        <v>600</v>
      </c>
      <c r="K152" s="49">
        <v>6336882</v>
      </c>
      <c r="L152" s="49"/>
      <c r="M152" s="238"/>
      <c r="N152" s="49"/>
      <c r="O152" s="218">
        <v>6562080</v>
      </c>
      <c r="P152" s="224"/>
      <c r="Q152" s="224"/>
    </row>
    <row r="153" spans="1:17" ht="32.4" customHeight="1" x14ac:dyDescent="0.3">
      <c r="A153" s="4"/>
      <c r="B153" s="15"/>
      <c r="C153" s="15"/>
      <c r="D153" s="15"/>
      <c r="E153" s="15"/>
      <c r="F153" s="16"/>
      <c r="G153" s="66" t="s">
        <v>62</v>
      </c>
      <c r="H153" s="66"/>
      <c r="I153" s="47" t="s">
        <v>182</v>
      </c>
      <c r="J153" s="48"/>
      <c r="K153" s="49">
        <f>K154+K156</f>
        <v>26091000</v>
      </c>
      <c r="L153" s="49">
        <f>L154</f>
        <v>0</v>
      </c>
      <c r="M153" s="238">
        <f>M154</f>
        <v>26091000</v>
      </c>
      <c r="N153" s="49">
        <f>N154+N156</f>
        <v>0</v>
      </c>
      <c r="O153" s="218">
        <f>O154+O156</f>
        <v>31031485</v>
      </c>
      <c r="P153" s="224"/>
      <c r="Q153" s="224"/>
    </row>
    <row r="154" spans="1:17" ht="35.4" customHeight="1" x14ac:dyDescent="0.3">
      <c r="A154" s="4"/>
      <c r="B154" s="353">
        <v>500</v>
      </c>
      <c r="C154" s="353"/>
      <c r="D154" s="353"/>
      <c r="E154" s="353"/>
      <c r="F154" s="354"/>
      <c r="G154" s="51" t="s">
        <v>4</v>
      </c>
      <c r="H154" s="51"/>
      <c r="I154" s="129"/>
      <c r="J154" s="48">
        <v>600</v>
      </c>
      <c r="K154" s="49">
        <v>26091000</v>
      </c>
      <c r="L154" s="49"/>
      <c r="M154" s="238">
        <f>K154+L154</f>
        <v>26091000</v>
      </c>
      <c r="N154" s="49"/>
      <c r="O154" s="271">
        <f>28814546+1554554+984239+868766-2040400</f>
        <v>30181705</v>
      </c>
      <c r="P154" s="224"/>
      <c r="Q154" s="224"/>
    </row>
    <row r="155" spans="1:17" ht="15.75" hidden="1" customHeight="1" x14ac:dyDescent="0.3">
      <c r="A155" s="4"/>
      <c r="B155" s="358" t="s">
        <v>50</v>
      </c>
      <c r="C155" s="358"/>
      <c r="D155" s="358"/>
      <c r="E155" s="358"/>
      <c r="F155" s="359"/>
      <c r="G155" s="51" t="s">
        <v>1</v>
      </c>
      <c r="H155" s="51"/>
      <c r="I155" s="129"/>
      <c r="J155" s="48">
        <v>800</v>
      </c>
      <c r="K155" s="49">
        <v>0</v>
      </c>
      <c r="L155" s="49"/>
      <c r="M155" s="238">
        <v>0</v>
      </c>
      <c r="N155" s="49"/>
      <c r="O155" s="218"/>
      <c r="P155" s="224"/>
      <c r="Q155" s="224"/>
    </row>
    <row r="156" spans="1:17" ht="15.75" customHeight="1" x14ac:dyDescent="0.3">
      <c r="A156" s="4"/>
      <c r="B156" s="17"/>
      <c r="C156" s="17"/>
      <c r="D156" s="17"/>
      <c r="E156" s="17"/>
      <c r="F156" s="18"/>
      <c r="G156" s="51" t="s">
        <v>1</v>
      </c>
      <c r="H156" s="51"/>
      <c r="I156" s="129"/>
      <c r="J156" s="48">
        <v>800</v>
      </c>
      <c r="K156" s="49"/>
      <c r="L156" s="49"/>
      <c r="M156" s="238"/>
      <c r="N156" s="49"/>
      <c r="O156" s="218">
        <f>849780</f>
        <v>849780</v>
      </c>
      <c r="P156" s="224"/>
      <c r="Q156" s="224"/>
    </row>
    <row r="157" spans="1:17" ht="35.4" customHeight="1" x14ac:dyDescent="0.3">
      <c r="A157" s="4"/>
      <c r="B157" s="17"/>
      <c r="C157" s="17"/>
      <c r="D157" s="17"/>
      <c r="E157" s="17"/>
      <c r="F157" s="18"/>
      <c r="G157" s="117" t="s">
        <v>519</v>
      </c>
      <c r="H157" s="66"/>
      <c r="I157" s="47" t="s">
        <v>183</v>
      </c>
      <c r="J157" s="48"/>
      <c r="K157" s="49">
        <f>K158+K160</f>
        <v>42769648</v>
      </c>
      <c r="L157" s="49">
        <f>L158+L159</f>
        <v>26122</v>
      </c>
      <c r="M157" s="238">
        <f>M158+M159</f>
        <v>42680722</v>
      </c>
      <c r="N157" s="49">
        <f>N158+N160</f>
        <v>2000000</v>
      </c>
      <c r="O157" s="218">
        <f>O158+O160</f>
        <v>53388518</v>
      </c>
      <c r="P157" s="224"/>
      <c r="Q157" s="224"/>
    </row>
    <row r="158" spans="1:17" ht="35.4" customHeight="1" x14ac:dyDescent="0.3">
      <c r="A158" s="4"/>
      <c r="B158" s="353">
        <v>500</v>
      </c>
      <c r="C158" s="353"/>
      <c r="D158" s="353"/>
      <c r="E158" s="353"/>
      <c r="F158" s="354"/>
      <c r="G158" s="51" t="s">
        <v>4</v>
      </c>
      <c r="H158" s="51"/>
      <c r="I158" s="129"/>
      <c r="J158" s="48">
        <v>600</v>
      </c>
      <c r="K158" s="49">
        <v>42654600</v>
      </c>
      <c r="L158" s="49">
        <v>26122</v>
      </c>
      <c r="M158" s="238">
        <f>K158+L158</f>
        <v>42680722</v>
      </c>
      <c r="N158" s="49">
        <v>0</v>
      </c>
      <c r="O158" s="271">
        <f>44926100+590000+426806</f>
        <v>45942906</v>
      </c>
      <c r="P158" s="224"/>
      <c r="Q158" s="224"/>
    </row>
    <row r="159" spans="1:17" ht="28.5" hidden="1" customHeight="1" x14ac:dyDescent="0.3">
      <c r="A159" s="4"/>
      <c r="B159" s="17"/>
      <c r="C159" s="17"/>
      <c r="D159" s="17"/>
      <c r="E159" s="17"/>
      <c r="F159" s="18"/>
      <c r="G159" s="51" t="s">
        <v>1</v>
      </c>
      <c r="H159" s="51"/>
      <c r="I159" s="129"/>
      <c r="J159" s="48">
        <v>800</v>
      </c>
      <c r="K159" s="49">
        <v>0</v>
      </c>
      <c r="L159" s="49"/>
      <c r="M159" s="238">
        <v>0</v>
      </c>
      <c r="N159" s="49"/>
      <c r="O159" s="218"/>
      <c r="P159" s="224"/>
      <c r="Q159" s="224"/>
    </row>
    <row r="160" spans="1:17" ht="23.1" customHeight="1" x14ac:dyDescent="0.3">
      <c r="A160" s="4"/>
      <c r="B160" s="17"/>
      <c r="C160" s="17"/>
      <c r="D160" s="17"/>
      <c r="E160" s="17"/>
      <c r="F160" s="18"/>
      <c r="G160" s="51" t="s">
        <v>1</v>
      </c>
      <c r="H160" s="51"/>
      <c r="I160" s="129"/>
      <c r="J160" s="48">
        <v>800</v>
      </c>
      <c r="K160" s="49">
        <v>115048</v>
      </c>
      <c r="L160" s="49"/>
      <c r="M160" s="238"/>
      <c r="N160" s="49">
        <v>2000000</v>
      </c>
      <c r="O160" s="271">
        <f>1501922+6450040+3337564-409452-2157876-1276586</f>
        <v>7445612</v>
      </c>
      <c r="P160" s="224"/>
      <c r="Q160" s="224"/>
    </row>
    <row r="161" spans="1:17" s="76" customFormat="1" ht="36.9" customHeight="1" x14ac:dyDescent="0.3">
      <c r="A161" s="75"/>
      <c r="B161" s="405" t="s">
        <v>49</v>
      </c>
      <c r="C161" s="405"/>
      <c r="D161" s="405"/>
      <c r="E161" s="405"/>
      <c r="F161" s="406"/>
      <c r="G161" s="117" t="s">
        <v>518</v>
      </c>
      <c r="H161" s="117"/>
      <c r="I161" s="47" t="s">
        <v>184</v>
      </c>
      <c r="J161" s="48"/>
      <c r="K161" s="49">
        <f>K162</f>
        <v>4324295</v>
      </c>
      <c r="L161" s="49">
        <f>L162</f>
        <v>0</v>
      </c>
      <c r="M161" s="238">
        <f>M162</f>
        <v>4324295</v>
      </c>
      <c r="N161" s="49">
        <f>N162</f>
        <v>0</v>
      </c>
      <c r="O161" s="218">
        <f>O162+O163</f>
        <v>11165400</v>
      </c>
      <c r="P161" s="224"/>
      <c r="Q161" s="224"/>
    </row>
    <row r="162" spans="1:17" ht="35.1" customHeight="1" x14ac:dyDescent="0.3">
      <c r="A162" s="4"/>
      <c r="B162" s="17"/>
      <c r="C162" s="17"/>
      <c r="D162" s="17"/>
      <c r="E162" s="17"/>
      <c r="F162" s="18"/>
      <c r="G162" s="51" t="s">
        <v>4</v>
      </c>
      <c r="H162" s="51"/>
      <c r="I162" s="129"/>
      <c r="J162" s="48">
        <v>600</v>
      </c>
      <c r="K162" s="49">
        <v>4324295</v>
      </c>
      <c r="L162" s="49">
        <v>0</v>
      </c>
      <c r="M162" s="238">
        <f>K162+L162</f>
        <v>4324295</v>
      </c>
      <c r="N162" s="49"/>
      <c r="O162" s="271">
        <f>4495995+333800+1335605</f>
        <v>6165400</v>
      </c>
      <c r="P162" s="224"/>
      <c r="Q162" s="224"/>
    </row>
    <row r="163" spans="1:17" ht="16.5" customHeight="1" x14ac:dyDescent="0.3">
      <c r="A163" s="4"/>
      <c r="B163" s="338"/>
      <c r="C163" s="338"/>
      <c r="D163" s="338"/>
      <c r="E163" s="338"/>
      <c r="F163" s="339"/>
      <c r="G163" s="51" t="s">
        <v>1</v>
      </c>
      <c r="H163" s="51"/>
      <c r="I163" s="129"/>
      <c r="J163" s="48">
        <v>800</v>
      </c>
      <c r="K163" s="49"/>
      <c r="L163" s="49"/>
      <c r="M163" s="238"/>
      <c r="N163" s="49"/>
      <c r="O163" s="271">
        <v>5000000</v>
      </c>
      <c r="P163" s="224"/>
      <c r="Q163" s="224"/>
    </row>
    <row r="164" spans="1:17" ht="32.85" customHeight="1" x14ac:dyDescent="0.3">
      <c r="A164" s="4"/>
      <c r="B164" s="353">
        <v>500</v>
      </c>
      <c r="C164" s="353"/>
      <c r="D164" s="353"/>
      <c r="E164" s="353"/>
      <c r="F164" s="354"/>
      <c r="G164" s="66" t="s">
        <v>63</v>
      </c>
      <c r="H164" s="66"/>
      <c r="I164" s="47" t="s">
        <v>185</v>
      </c>
      <c r="J164" s="48"/>
      <c r="K164" s="49">
        <f>K165+K166+K168+K167</f>
        <v>7522700</v>
      </c>
      <c r="L164" s="49">
        <f>L165+L166+L168</f>
        <v>458615</v>
      </c>
      <c r="M164" s="238">
        <f>M165+M166+M168</f>
        <v>7931315</v>
      </c>
      <c r="N164" s="49">
        <f>N165+N166+N168+N167</f>
        <v>0</v>
      </c>
      <c r="O164" s="218">
        <f>O165+O166+O168+O167</f>
        <v>8216400</v>
      </c>
      <c r="P164" s="224"/>
      <c r="Q164" s="224"/>
    </row>
    <row r="165" spans="1:17" ht="68.400000000000006" customHeight="1" x14ac:dyDescent="0.3">
      <c r="A165" s="4"/>
      <c r="B165" s="358" t="s">
        <v>48</v>
      </c>
      <c r="C165" s="358"/>
      <c r="D165" s="358"/>
      <c r="E165" s="358"/>
      <c r="F165" s="359"/>
      <c r="G165" s="51" t="s">
        <v>3</v>
      </c>
      <c r="H165" s="51"/>
      <c r="I165" s="129"/>
      <c r="J165" s="48">
        <v>100</v>
      </c>
      <c r="K165" s="49">
        <v>6318600</v>
      </c>
      <c r="L165" s="49">
        <v>460624</v>
      </c>
      <c r="M165" s="238">
        <f>L165+K165</f>
        <v>6779224</v>
      </c>
      <c r="N165" s="49"/>
      <c r="O165" s="271">
        <v>6932800</v>
      </c>
      <c r="P165" s="224"/>
      <c r="Q165" s="224"/>
    </row>
    <row r="166" spans="1:17" ht="36.75" customHeight="1" x14ac:dyDescent="0.3">
      <c r="A166" s="4"/>
      <c r="B166" s="17"/>
      <c r="C166" s="17"/>
      <c r="D166" s="17"/>
      <c r="E166" s="17"/>
      <c r="F166" s="18"/>
      <c r="G166" s="51" t="s">
        <v>2</v>
      </c>
      <c r="H166" s="51"/>
      <c r="I166" s="129"/>
      <c r="J166" s="48">
        <v>200</v>
      </c>
      <c r="K166" s="49">
        <v>1132100</v>
      </c>
      <c r="L166" s="49">
        <v>-7555</v>
      </c>
      <c r="M166" s="238">
        <f>K166+L166</f>
        <v>1124545</v>
      </c>
      <c r="N166" s="49"/>
      <c r="O166" s="271">
        <v>1265600</v>
      </c>
      <c r="P166" s="224"/>
      <c r="Q166" s="224"/>
    </row>
    <row r="167" spans="1:17" ht="18.899999999999999" customHeight="1" x14ac:dyDescent="0.3">
      <c r="A167" s="4"/>
      <c r="B167" s="17"/>
      <c r="C167" s="17"/>
      <c r="D167" s="17"/>
      <c r="E167" s="17"/>
      <c r="F167" s="18"/>
      <c r="G167" s="51" t="s">
        <v>5</v>
      </c>
      <c r="H167" s="51"/>
      <c r="I167" s="129"/>
      <c r="J167" s="48">
        <v>300</v>
      </c>
      <c r="K167" s="49">
        <v>50000</v>
      </c>
      <c r="L167" s="49"/>
      <c r="M167" s="238"/>
      <c r="N167" s="49"/>
      <c r="O167" s="218"/>
      <c r="P167" s="224"/>
      <c r="Q167" s="224"/>
    </row>
    <row r="168" spans="1:17" ht="24" customHeight="1" x14ac:dyDescent="0.3">
      <c r="A168" s="4"/>
      <c r="B168" s="17"/>
      <c r="C168" s="17"/>
      <c r="D168" s="17"/>
      <c r="E168" s="17"/>
      <c r="F168" s="18"/>
      <c r="G168" s="51" t="s">
        <v>1</v>
      </c>
      <c r="H168" s="51"/>
      <c r="I168" s="129"/>
      <c r="J168" s="48">
        <v>800</v>
      </c>
      <c r="K168" s="49">
        <v>22000</v>
      </c>
      <c r="L168" s="49">
        <v>5546</v>
      </c>
      <c r="M168" s="238">
        <f>L168+K168</f>
        <v>27546</v>
      </c>
      <c r="N168" s="49"/>
      <c r="O168" s="271">
        <v>18000</v>
      </c>
      <c r="P168" s="224"/>
      <c r="Q168" s="224"/>
    </row>
    <row r="169" spans="1:17" ht="41.1" customHeight="1" x14ac:dyDescent="0.3">
      <c r="A169" s="4"/>
      <c r="B169" s="17"/>
      <c r="C169" s="17"/>
      <c r="D169" s="17"/>
      <c r="E169" s="17"/>
      <c r="F169" s="18"/>
      <c r="G169" s="51" t="s">
        <v>488</v>
      </c>
      <c r="H169" s="51"/>
      <c r="I169" s="47" t="s">
        <v>489</v>
      </c>
      <c r="J169" s="48"/>
      <c r="K169" s="49">
        <f>K170</f>
        <v>1335605</v>
      </c>
      <c r="L169" s="49">
        <f>L170</f>
        <v>0</v>
      </c>
      <c r="M169" s="238">
        <f>M170</f>
        <v>1335605</v>
      </c>
      <c r="N169" s="49">
        <f>N170</f>
        <v>0</v>
      </c>
      <c r="O169" s="218">
        <f>O170</f>
        <v>1335605</v>
      </c>
      <c r="P169" s="224"/>
      <c r="Q169" s="224"/>
    </row>
    <row r="170" spans="1:17" ht="33.9" customHeight="1" x14ac:dyDescent="0.3">
      <c r="A170" s="4"/>
      <c r="B170" s="17"/>
      <c r="C170" s="17"/>
      <c r="D170" s="17"/>
      <c r="E170" s="17"/>
      <c r="F170" s="18"/>
      <c r="G170" s="51" t="s">
        <v>4</v>
      </c>
      <c r="H170" s="51"/>
      <c r="I170" s="129"/>
      <c r="J170" s="48">
        <v>600</v>
      </c>
      <c r="K170" s="49">
        <v>1335605</v>
      </c>
      <c r="L170" s="49">
        <v>0</v>
      </c>
      <c r="M170" s="238">
        <f>K170+L170</f>
        <v>1335605</v>
      </c>
      <c r="N170" s="49"/>
      <c r="O170" s="271">
        <v>1335605</v>
      </c>
      <c r="P170" s="224"/>
      <c r="Q170" s="224"/>
    </row>
    <row r="171" spans="1:17" ht="35.1" customHeight="1" x14ac:dyDescent="0.3">
      <c r="A171" s="4"/>
      <c r="B171" s="17"/>
      <c r="C171" s="17"/>
      <c r="D171" s="17"/>
      <c r="E171" s="17"/>
      <c r="F171" s="18"/>
      <c r="G171" s="51" t="s">
        <v>249</v>
      </c>
      <c r="H171" s="51"/>
      <c r="I171" s="47" t="s">
        <v>248</v>
      </c>
      <c r="J171" s="48"/>
      <c r="K171" s="49">
        <f>K172</f>
        <v>90400</v>
      </c>
      <c r="L171" s="49"/>
      <c r="M171" s="238">
        <f>M172</f>
        <v>90400</v>
      </c>
      <c r="N171" s="49">
        <f>N172</f>
        <v>0</v>
      </c>
      <c r="O171" s="218">
        <f>O172</f>
        <v>90400</v>
      </c>
      <c r="P171" s="224"/>
      <c r="Q171" s="224"/>
    </row>
    <row r="172" spans="1:17" ht="38.4" customHeight="1" x14ac:dyDescent="0.3">
      <c r="A172" s="4"/>
      <c r="B172" s="353">
        <v>500</v>
      </c>
      <c r="C172" s="353"/>
      <c r="D172" s="353"/>
      <c r="E172" s="353"/>
      <c r="F172" s="354"/>
      <c r="G172" s="51" t="s">
        <v>4</v>
      </c>
      <c r="H172" s="51"/>
      <c r="I172" s="129"/>
      <c r="J172" s="48">
        <v>600</v>
      </c>
      <c r="K172" s="49">
        <v>90400</v>
      </c>
      <c r="L172" s="49"/>
      <c r="M172" s="238">
        <v>90400</v>
      </c>
      <c r="N172" s="49"/>
      <c r="O172" s="218">
        <v>90400</v>
      </c>
      <c r="P172" s="224"/>
      <c r="Q172" s="224"/>
    </row>
    <row r="173" spans="1:17" s="43" customFormat="1" ht="46.8" hidden="1" x14ac:dyDescent="0.3">
      <c r="A173" s="40"/>
      <c r="B173" s="369" t="s">
        <v>47</v>
      </c>
      <c r="C173" s="369"/>
      <c r="D173" s="369"/>
      <c r="E173" s="369"/>
      <c r="F173" s="370"/>
      <c r="G173" s="51" t="s">
        <v>178</v>
      </c>
      <c r="H173" s="51"/>
      <c r="I173" s="47" t="s">
        <v>345</v>
      </c>
      <c r="J173" s="48"/>
      <c r="K173" s="49">
        <f>K174</f>
        <v>0</v>
      </c>
      <c r="L173" s="49"/>
      <c r="M173" s="238">
        <f>M174</f>
        <v>0</v>
      </c>
      <c r="N173" s="49"/>
      <c r="O173" s="218"/>
      <c r="P173" s="224"/>
      <c r="Q173" s="224"/>
    </row>
    <row r="174" spans="1:17" s="43" customFormat="1" ht="31.2" hidden="1" x14ac:dyDescent="0.3">
      <c r="A174" s="40"/>
      <c r="B174" s="41"/>
      <c r="C174" s="41"/>
      <c r="D174" s="41"/>
      <c r="E174" s="41"/>
      <c r="F174" s="42"/>
      <c r="G174" s="51" t="s">
        <v>4</v>
      </c>
      <c r="H174" s="51"/>
      <c r="I174" s="129"/>
      <c r="J174" s="48">
        <v>600</v>
      </c>
      <c r="K174" s="49"/>
      <c r="L174" s="49"/>
      <c r="M174" s="238"/>
      <c r="N174" s="49"/>
      <c r="O174" s="218"/>
      <c r="P174" s="224"/>
      <c r="Q174" s="224"/>
    </row>
    <row r="175" spans="1:17" s="43" customFormat="1" ht="46.8" x14ac:dyDescent="0.3">
      <c r="A175" s="40"/>
      <c r="B175" s="319"/>
      <c r="C175" s="319"/>
      <c r="D175" s="319"/>
      <c r="E175" s="319"/>
      <c r="F175" s="320"/>
      <c r="G175" s="14" t="s">
        <v>654</v>
      </c>
      <c r="H175" s="14"/>
      <c r="I175" s="3" t="s">
        <v>656</v>
      </c>
      <c r="J175" s="215"/>
      <c r="K175" s="218"/>
      <c r="L175" s="218"/>
      <c r="M175" s="325"/>
      <c r="N175" s="218"/>
      <c r="O175" s="271">
        <f>O176</f>
        <v>0</v>
      </c>
      <c r="P175" s="224"/>
      <c r="Q175" s="224"/>
    </row>
    <row r="176" spans="1:17" s="43" customFormat="1" ht="31.2" x14ac:dyDescent="0.3">
      <c r="A176" s="40"/>
      <c r="B176" s="319"/>
      <c r="C176" s="319"/>
      <c r="D176" s="319"/>
      <c r="E176" s="319"/>
      <c r="F176" s="320"/>
      <c r="G176" s="14" t="s">
        <v>4</v>
      </c>
      <c r="H176" s="14"/>
      <c r="I176" s="326"/>
      <c r="J176" s="215">
        <v>600</v>
      </c>
      <c r="K176" s="218"/>
      <c r="L176" s="218"/>
      <c r="M176" s="325"/>
      <c r="N176" s="218"/>
      <c r="O176" s="271"/>
      <c r="P176" s="224"/>
      <c r="Q176" s="224"/>
    </row>
    <row r="177" spans="1:17" s="43" customFormat="1" ht="62.4" x14ac:dyDescent="0.3">
      <c r="A177" s="40"/>
      <c r="B177" s="319"/>
      <c r="C177" s="319"/>
      <c r="D177" s="319"/>
      <c r="E177" s="319"/>
      <c r="F177" s="320"/>
      <c r="G177" s="14" t="s">
        <v>655</v>
      </c>
      <c r="H177" s="14"/>
      <c r="I177" s="3" t="s">
        <v>657</v>
      </c>
      <c r="J177" s="215"/>
      <c r="K177" s="218"/>
      <c r="L177" s="218"/>
      <c r="M177" s="325"/>
      <c r="N177" s="218"/>
      <c r="O177" s="271">
        <f>O178</f>
        <v>0</v>
      </c>
      <c r="P177" s="224"/>
      <c r="Q177" s="224"/>
    </row>
    <row r="178" spans="1:17" s="43" customFormat="1" ht="31.2" x14ac:dyDescent="0.3">
      <c r="A178" s="40"/>
      <c r="B178" s="319"/>
      <c r="C178" s="319"/>
      <c r="D178" s="319"/>
      <c r="E178" s="319"/>
      <c r="F178" s="320"/>
      <c r="G178" s="14" t="s">
        <v>4</v>
      </c>
      <c r="H178" s="14"/>
      <c r="I178" s="326"/>
      <c r="J178" s="215">
        <v>600</v>
      </c>
      <c r="K178" s="218"/>
      <c r="L178" s="218"/>
      <c r="M178" s="325"/>
      <c r="N178" s="218"/>
      <c r="O178" s="271"/>
      <c r="P178" s="224"/>
      <c r="Q178" s="224"/>
    </row>
    <row r="179" spans="1:17" s="43" customFormat="1" x14ac:dyDescent="0.3">
      <c r="A179" s="40"/>
      <c r="B179" s="41"/>
      <c r="C179" s="41"/>
      <c r="D179" s="41"/>
      <c r="E179" s="41"/>
      <c r="F179" s="42"/>
      <c r="G179" s="51" t="s">
        <v>732</v>
      </c>
      <c r="H179" s="51"/>
      <c r="I179" s="47" t="s">
        <v>731</v>
      </c>
      <c r="J179" s="48"/>
      <c r="K179" s="49">
        <f>K180</f>
        <v>95312594</v>
      </c>
      <c r="L179" s="49"/>
      <c r="M179" s="238">
        <f>M180</f>
        <v>96275534</v>
      </c>
      <c r="N179" s="49">
        <f>N180</f>
        <v>0</v>
      </c>
      <c r="O179" s="218">
        <f>O180</f>
        <v>142222524</v>
      </c>
      <c r="P179" s="224"/>
      <c r="Q179" s="224"/>
    </row>
    <row r="180" spans="1:17" s="43" customFormat="1" ht="45.9" customHeight="1" x14ac:dyDescent="0.3">
      <c r="A180" s="40"/>
      <c r="B180" s="41"/>
      <c r="C180" s="41"/>
      <c r="D180" s="41"/>
      <c r="E180" s="41"/>
      <c r="F180" s="42"/>
      <c r="G180" s="51" t="s">
        <v>4</v>
      </c>
      <c r="H180" s="51"/>
      <c r="I180" s="129"/>
      <c r="J180" s="48">
        <v>600</v>
      </c>
      <c r="K180" s="49">
        <v>95312594</v>
      </c>
      <c r="L180" s="49"/>
      <c r="M180" s="238">
        <v>96275534</v>
      </c>
      <c r="N180" s="49"/>
      <c r="O180" s="271">
        <f>140383592+596461+1242471</f>
        <v>142222524</v>
      </c>
      <c r="P180" s="224"/>
      <c r="Q180" s="224"/>
    </row>
    <row r="181" spans="1:17" s="43" customFormat="1" ht="39" hidden="1" customHeight="1" x14ac:dyDescent="0.3">
      <c r="A181" s="40"/>
      <c r="B181" s="41"/>
      <c r="C181" s="41"/>
      <c r="D181" s="41"/>
      <c r="E181" s="41"/>
      <c r="F181" s="42"/>
      <c r="G181" s="51" t="s">
        <v>97</v>
      </c>
      <c r="H181" s="51"/>
      <c r="I181" s="47" t="s">
        <v>346</v>
      </c>
      <c r="J181" s="48"/>
      <c r="K181" s="49">
        <f>K182</f>
        <v>27001255</v>
      </c>
      <c r="L181" s="49"/>
      <c r="M181" s="238">
        <f>M182</f>
        <v>27223358</v>
      </c>
      <c r="N181" s="49">
        <f>N182</f>
        <v>0</v>
      </c>
      <c r="O181" s="218">
        <f>O182</f>
        <v>0</v>
      </c>
      <c r="P181" s="224"/>
      <c r="Q181" s="224"/>
    </row>
    <row r="182" spans="1:17" s="43" customFormat="1" ht="35.4" hidden="1" customHeight="1" x14ac:dyDescent="0.3">
      <c r="A182" s="40"/>
      <c r="B182" s="41"/>
      <c r="C182" s="41"/>
      <c r="D182" s="41"/>
      <c r="E182" s="41"/>
      <c r="F182" s="42"/>
      <c r="G182" s="51" t="s">
        <v>4</v>
      </c>
      <c r="H182" s="51"/>
      <c r="I182" s="129"/>
      <c r="J182" s="48">
        <v>600</v>
      </c>
      <c r="K182" s="49">
        <v>27001255</v>
      </c>
      <c r="L182" s="49"/>
      <c r="M182" s="238">
        <v>27223358</v>
      </c>
      <c r="N182" s="49"/>
      <c r="O182" s="271"/>
      <c r="P182" s="224"/>
      <c r="Q182" s="224"/>
    </row>
    <row r="183" spans="1:17" s="43" customFormat="1" ht="39" customHeight="1" x14ac:dyDescent="0.3">
      <c r="A183" s="40"/>
      <c r="B183" s="162"/>
      <c r="C183" s="162"/>
      <c r="D183" s="162"/>
      <c r="E183" s="162"/>
      <c r="F183" s="163"/>
      <c r="G183" s="51" t="s">
        <v>431</v>
      </c>
      <c r="H183" s="51"/>
      <c r="I183" s="47" t="s">
        <v>430</v>
      </c>
      <c r="J183" s="48"/>
      <c r="K183" s="49">
        <f>K184</f>
        <v>867504</v>
      </c>
      <c r="L183" s="49"/>
      <c r="M183" s="238">
        <f>M184</f>
        <v>1411368</v>
      </c>
      <c r="N183" s="49">
        <f>N184</f>
        <v>0</v>
      </c>
      <c r="O183" s="218">
        <f>O184</f>
        <v>1439336</v>
      </c>
      <c r="P183" s="224"/>
      <c r="Q183" s="224"/>
    </row>
    <row r="184" spans="1:17" s="43" customFormat="1" ht="36" customHeight="1" x14ac:dyDescent="0.3">
      <c r="A184" s="40"/>
      <c r="B184" s="162"/>
      <c r="C184" s="162"/>
      <c r="D184" s="162"/>
      <c r="E184" s="162"/>
      <c r="F184" s="163"/>
      <c r="G184" s="51" t="s">
        <v>4</v>
      </c>
      <c r="H184" s="51"/>
      <c r="I184" s="129"/>
      <c r="J184" s="48">
        <v>600</v>
      </c>
      <c r="K184" s="49">
        <v>867504</v>
      </c>
      <c r="L184" s="49"/>
      <c r="M184" s="238">
        <v>1411368</v>
      </c>
      <c r="N184" s="49"/>
      <c r="O184" s="271">
        <v>1439336</v>
      </c>
      <c r="P184" s="224"/>
      <c r="Q184" s="224"/>
    </row>
    <row r="185" spans="1:17" s="43" customFormat="1" ht="49.5" hidden="1" customHeight="1" x14ac:dyDescent="0.3">
      <c r="A185" s="40"/>
      <c r="B185" s="272"/>
      <c r="C185" s="272"/>
      <c r="D185" s="272"/>
      <c r="E185" s="272"/>
      <c r="F185" s="273"/>
      <c r="G185" s="51" t="s">
        <v>584</v>
      </c>
      <c r="H185" s="51"/>
      <c r="I185" s="47" t="s">
        <v>585</v>
      </c>
      <c r="J185" s="48"/>
      <c r="K185" s="49"/>
      <c r="L185" s="49"/>
      <c r="M185" s="238"/>
      <c r="N185" s="49"/>
      <c r="O185" s="271">
        <f t="shared" ref="O185" si="8">O186</f>
        <v>0</v>
      </c>
      <c r="P185" s="217"/>
      <c r="Q185" s="271"/>
    </row>
    <row r="186" spans="1:17" s="43" customFormat="1" ht="49.5" hidden="1" customHeight="1" x14ac:dyDescent="0.3">
      <c r="A186" s="40"/>
      <c r="B186" s="272"/>
      <c r="C186" s="272"/>
      <c r="D186" s="272"/>
      <c r="E186" s="272"/>
      <c r="F186" s="273"/>
      <c r="G186" s="51" t="s">
        <v>4</v>
      </c>
      <c r="H186" s="51"/>
      <c r="I186" s="129"/>
      <c r="J186" s="48">
        <v>600</v>
      </c>
      <c r="K186" s="49"/>
      <c r="L186" s="49"/>
      <c r="M186" s="238"/>
      <c r="N186" s="49"/>
      <c r="O186" s="271"/>
      <c r="P186" s="217"/>
      <c r="Q186" s="271"/>
    </row>
    <row r="187" spans="1:17" s="43" customFormat="1" ht="49.5" hidden="1" customHeight="1" x14ac:dyDescent="0.3">
      <c r="A187" s="40"/>
      <c r="B187" s="272"/>
      <c r="C187" s="272"/>
      <c r="D187" s="272"/>
      <c r="E187" s="272"/>
      <c r="F187" s="273"/>
      <c r="G187" s="51" t="s">
        <v>586</v>
      </c>
      <c r="H187" s="51"/>
      <c r="I187" s="47" t="s">
        <v>587</v>
      </c>
      <c r="J187" s="48"/>
      <c r="K187" s="49"/>
      <c r="L187" s="49"/>
      <c r="M187" s="238"/>
      <c r="N187" s="49"/>
      <c r="O187" s="271">
        <f>O188</f>
        <v>0</v>
      </c>
      <c r="P187" s="217"/>
      <c r="Q187" s="271"/>
    </row>
    <row r="188" spans="1:17" s="43" customFormat="1" ht="49.5" hidden="1" customHeight="1" x14ac:dyDescent="0.3">
      <c r="A188" s="40"/>
      <c r="B188" s="272"/>
      <c r="C188" s="272"/>
      <c r="D188" s="272"/>
      <c r="E188" s="272"/>
      <c r="F188" s="273"/>
      <c r="G188" s="51" t="s">
        <v>4</v>
      </c>
      <c r="H188" s="51"/>
      <c r="I188" s="129"/>
      <c r="J188" s="48">
        <v>600</v>
      </c>
      <c r="K188" s="49"/>
      <c r="L188" s="49"/>
      <c r="M188" s="238"/>
      <c r="N188" s="49"/>
      <c r="O188" s="271"/>
      <c r="P188" s="217"/>
      <c r="Q188" s="271"/>
    </row>
    <row r="189" spans="1:17" ht="50.4" customHeight="1" x14ac:dyDescent="0.3">
      <c r="A189" s="4"/>
      <c r="B189" s="353">
        <v>500</v>
      </c>
      <c r="C189" s="353"/>
      <c r="D189" s="353"/>
      <c r="E189" s="353"/>
      <c r="F189" s="354"/>
      <c r="G189" s="63" t="s">
        <v>187</v>
      </c>
      <c r="H189" s="63"/>
      <c r="I189" s="64" t="s">
        <v>186</v>
      </c>
      <c r="J189" s="48"/>
      <c r="K189" s="49">
        <f>K190+K192++K194+K197+K199+K205+K212</f>
        <v>44708218</v>
      </c>
      <c r="L189" s="49">
        <f>L190+L192++L194+L197+L199+L205</f>
        <v>0</v>
      </c>
      <c r="M189" s="238">
        <f>M190+M192++M194+M197+M199+M205</f>
        <v>37428743</v>
      </c>
      <c r="N189" s="49">
        <f>N190+N192++N194+N197+N199+N205+N212</f>
        <v>0</v>
      </c>
      <c r="O189" s="218">
        <f>O190+O192++O194+O197+O199+O205+O212+O203</f>
        <v>50858994</v>
      </c>
      <c r="P189" s="224"/>
      <c r="Q189" s="224"/>
    </row>
    <row r="190" spans="1:17" s="43" customFormat="1" ht="67.5" hidden="1" customHeight="1" x14ac:dyDescent="0.3">
      <c r="A190" s="40"/>
      <c r="B190" s="369" t="s">
        <v>46</v>
      </c>
      <c r="C190" s="369"/>
      <c r="D190" s="369"/>
      <c r="E190" s="369"/>
      <c r="F190" s="370"/>
      <c r="G190" s="51" t="s">
        <v>360</v>
      </c>
      <c r="H190" s="51"/>
      <c r="I190" s="47" t="s">
        <v>188</v>
      </c>
      <c r="J190" s="48"/>
      <c r="K190" s="49">
        <f>K191</f>
        <v>149794</v>
      </c>
      <c r="L190" s="49"/>
      <c r="M190" s="238">
        <f>M191</f>
        <v>122000</v>
      </c>
      <c r="N190" s="49">
        <f>N191</f>
        <v>0</v>
      </c>
      <c r="O190" s="218">
        <f>O191</f>
        <v>0</v>
      </c>
      <c r="P190" s="224"/>
      <c r="Q190" s="224"/>
    </row>
    <row r="191" spans="1:17" s="43" customFormat="1" ht="38.4" hidden="1" customHeight="1" x14ac:dyDescent="0.3">
      <c r="A191" s="40"/>
      <c r="B191" s="41"/>
      <c r="C191" s="41"/>
      <c r="D191" s="41"/>
      <c r="E191" s="41"/>
      <c r="F191" s="42"/>
      <c r="G191" s="51" t="s">
        <v>5</v>
      </c>
      <c r="H191" s="51"/>
      <c r="I191" s="64"/>
      <c r="J191" s="48">
        <v>300</v>
      </c>
      <c r="K191" s="49">
        <v>149794</v>
      </c>
      <c r="L191" s="49"/>
      <c r="M191" s="238">
        <v>122000</v>
      </c>
      <c r="N191" s="49"/>
      <c r="O191" s="218"/>
      <c r="P191" s="224"/>
      <c r="Q191" s="224"/>
    </row>
    <row r="192" spans="1:17" s="43" customFormat="1" ht="62.4" x14ac:dyDescent="0.3">
      <c r="A192" s="40"/>
      <c r="B192" s="371">
        <v>500</v>
      </c>
      <c r="C192" s="371"/>
      <c r="D192" s="371"/>
      <c r="E192" s="371"/>
      <c r="F192" s="372"/>
      <c r="G192" s="51" t="s">
        <v>410</v>
      </c>
      <c r="H192" s="51"/>
      <c r="I192" s="47" t="s">
        <v>189</v>
      </c>
      <c r="J192" s="48" t="s">
        <v>0</v>
      </c>
      <c r="K192" s="49">
        <f t="shared" ref="K192:O192" si="9">K193</f>
        <v>1601530</v>
      </c>
      <c r="L192" s="49">
        <f t="shared" si="9"/>
        <v>0</v>
      </c>
      <c r="M192" s="238">
        <f t="shared" si="9"/>
        <v>1601530</v>
      </c>
      <c r="N192" s="49">
        <f t="shared" si="9"/>
        <v>0</v>
      </c>
      <c r="O192" s="218">
        <f t="shared" si="9"/>
        <v>2000442</v>
      </c>
      <c r="P192" s="224"/>
      <c r="Q192" s="224"/>
    </row>
    <row r="193" spans="1:17" s="43" customFormat="1" ht="31.2" x14ac:dyDescent="0.3">
      <c r="A193" s="40"/>
      <c r="B193" s="369" t="s">
        <v>45</v>
      </c>
      <c r="C193" s="369"/>
      <c r="D193" s="369"/>
      <c r="E193" s="369"/>
      <c r="F193" s="370"/>
      <c r="G193" s="51" t="s">
        <v>4</v>
      </c>
      <c r="H193" s="51"/>
      <c r="I193" s="47" t="s">
        <v>0</v>
      </c>
      <c r="J193" s="48">
        <v>600</v>
      </c>
      <c r="K193" s="49">
        <v>1601530</v>
      </c>
      <c r="L193" s="49"/>
      <c r="M193" s="238">
        <f>K193+L193</f>
        <v>1601530</v>
      </c>
      <c r="N193" s="49"/>
      <c r="O193" s="218">
        <v>2000442</v>
      </c>
      <c r="P193" s="224"/>
      <c r="Q193" s="224"/>
    </row>
    <row r="194" spans="1:17" s="43" customFormat="1" ht="39.6" customHeight="1" x14ac:dyDescent="0.3">
      <c r="A194" s="40"/>
      <c r="B194" s="369" t="s">
        <v>44</v>
      </c>
      <c r="C194" s="369"/>
      <c r="D194" s="369"/>
      <c r="E194" s="369"/>
      <c r="F194" s="370"/>
      <c r="G194" s="51" t="s">
        <v>82</v>
      </c>
      <c r="H194" s="51"/>
      <c r="I194" s="47" t="s">
        <v>190</v>
      </c>
      <c r="J194" s="48" t="s">
        <v>0</v>
      </c>
      <c r="K194" s="49">
        <f>K196+K195</f>
        <v>9484600</v>
      </c>
      <c r="L194" s="49"/>
      <c r="M194" s="238">
        <f>M196+M195</f>
        <v>10746696</v>
      </c>
      <c r="N194" s="49">
        <f>N196+N195</f>
        <v>0</v>
      </c>
      <c r="O194" s="218">
        <f>O196+O195</f>
        <v>9557577</v>
      </c>
      <c r="P194" s="224"/>
      <c r="Q194" s="224"/>
    </row>
    <row r="195" spans="1:17" s="43" customFormat="1" ht="31.2" x14ac:dyDescent="0.3">
      <c r="A195" s="40"/>
      <c r="B195" s="371">
        <v>500</v>
      </c>
      <c r="C195" s="371"/>
      <c r="D195" s="371"/>
      <c r="E195" s="371"/>
      <c r="F195" s="372"/>
      <c r="G195" s="51" t="s">
        <v>2</v>
      </c>
      <c r="H195" s="51"/>
      <c r="I195" s="47"/>
      <c r="J195" s="48">
        <v>200</v>
      </c>
      <c r="K195" s="49">
        <v>24301</v>
      </c>
      <c r="L195" s="49"/>
      <c r="M195" s="238">
        <v>27453</v>
      </c>
      <c r="N195" s="49"/>
      <c r="O195" s="218">
        <f>23403+1375</f>
        <v>24778</v>
      </c>
      <c r="P195" s="224"/>
      <c r="Q195" s="224"/>
    </row>
    <row r="196" spans="1:17" s="43" customFormat="1" x14ac:dyDescent="0.3">
      <c r="A196" s="40"/>
      <c r="B196" s="369" t="s">
        <v>43</v>
      </c>
      <c r="C196" s="369"/>
      <c r="D196" s="369"/>
      <c r="E196" s="369"/>
      <c r="F196" s="370"/>
      <c r="G196" s="51" t="s">
        <v>5</v>
      </c>
      <c r="H196" s="51"/>
      <c r="I196" s="47" t="s">
        <v>0</v>
      </c>
      <c r="J196" s="48">
        <v>300</v>
      </c>
      <c r="K196" s="49">
        <v>9460299</v>
      </c>
      <c r="L196" s="49"/>
      <c r="M196" s="238">
        <f>1918057+3572649+5228537</f>
        <v>10719243</v>
      </c>
      <c r="N196" s="49"/>
      <c r="O196" s="282">
        <f>9002868+529931</f>
        <v>9532799</v>
      </c>
      <c r="P196" s="224"/>
      <c r="Q196" s="224"/>
    </row>
    <row r="197" spans="1:17" s="43" customFormat="1" ht="46.8" x14ac:dyDescent="0.3">
      <c r="A197" s="40"/>
      <c r="B197" s="41"/>
      <c r="C197" s="41"/>
      <c r="D197" s="41"/>
      <c r="E197" s="41"/>
      <c r="F197" s="42"/>
      <c r="G197" s="51" t="s">
        <v>179</v>
      </c>
      <c r="H197" s="51"/>
      <c r="I197" s="47" t="s">
        <v>191</v>
      </c>
      <c r="J197" s="48" t="s">
        <v>0</v>
      </c>
      <c r="K197" s="49">
        <f>K198</f>
        <v>23664700</v>
      </c>
      <c r="L197" s="49"/>
      <c r="M197" s="238">
        <f>M198</f>
        <v>18621145</v>
      </c>
      <c r="N197" s="49">
        <f>N198</f>
        <v>0</v>
      </c>
      <c r="O197" s="218">
        <f>O198</f>
        <v>27881641</v>
      </c>
      <c r="P197" s="224"/>
      <c r="Q197" s="224"/>
    </row>
    <row r="198" spans="1:17" s="43" customFormat="1" ht="31.2" x14ac:dyDescent="0.3">
      <c r="A198" s="40"/>
      <c r="B198" s="41"/>
      <c r="C198" s="41"/>
      <c r="D198" s="41"/>
      <c r="E198" s="41"/>
      <c r="F198" s="42"/>
      <c r="G198" s="51" t="s">
        <v>4</v>
      </c>
      <c r="H198" s="51"/>
      <c r="I198" s="47" t="s">
        <v>0</v>
      </c>
      <c r="J198" s="48">
        <v>600</v>
      </c>
      <c r="K198" s="49">
        <v>23664700</v>
      </c>
      <c r="L198" s="49"/>
      <c r="M198" s="238">
        <v>18621145</v>
      </c>
      <c r="N198" s="49"/>
      <c r="O198" s="271">
        <f>27387265+494376</f>
        <v>27881641</v>
      </c>
      <c r="P198" s="224"/>
      <c r="Q198" s="224"/>
    </row>
    <row r="199" spans="1:17" s="43" customFormat="1" x14ac:dyDescent="0.3">
      <c r="A199" s="40"/>
      <c r="B199" s="369" t="s">
        <v>42</v>
      </c>
      <c r="C199" s="369"/>
      <c r="D199" s="369"/>
      <c r="E199" s="369"/>
      <c r="F199" s="370"/>
      <c r="G199" s="51" t="s">
        <v>83</v>
      </c>
      <c r="H199" s="51"/>
      <c r="I199" s="47" t="s">
        <v>192</v>
      </c>
      <c r="J199" s="48" t="s">
        <v>0</v>
      </c>
      <c r="K199" s="49">
        <f>K202+K201</f>
        <v>1479350</v>
      </c>
      <c r="L199" s="49"/>
      <c r="M199" s="238">
        <f>M202+M201</f>
        <v>1201635</v>
      </c>
      <c r="N199" s="49">
        <f>N202+N201</f>
        <v>0</v>
      </c>
      <c r="O199" s="218">
        <f>O202+O201</f>
        <v>1511526</v>
      </c>
      <c r="P199" s="224"/>
      <c r="Q199" s="224"/>
    </row>
    <row r="200" spans="1:17" s="43" customFormat="1" ht="41.25" hidden="1" customHeight="1" x14ac:dyDescent="0.3">
      <c r="A200" s="40"/>
      <c r="B200" s="41"/>
      <c r="C200" s="41"/>
      <c r="D200" s="41"/>
      <c r="E200" s="41"/>
      <c r="F200" s="42"/>
      <c r="G200" s="51" t="s">
        <v>2</v>
      </c>
      <c r="H200" s="51"/>
      <c r="I200" s="47"/>
      <c r="J200" s="48">
        <v>200</v>
      </c>
      <c r="K200" s="49"/>
      <c r="L200" s="49"/>
      <c r="M200" s="238"/>
      <c r="N200" s="49"/>
      <c r="O200" s="218"/>
      <c r="P200" s="224"/>
      <c r="Q200" s="224"/>
    </row>
    <row r="201" spans="1:17" s="43" customFormat="1" ht="31.2" x14ac:dyDescent="0.3">
      <c r="A201" s="40"/>
      <c r="B201" s="41"/>
      <c r="C201" s="41"/>
      <c r="D201" s="41"/>
      <c r="E201" s="41"/>
      <c r="F201" s="42"/>
      <c r="G201" s="51" t="s">
        <v>2</v>
      </c>
      <c r="H201" s="51"/>
      <c r="I201" s="47"/>
      <c r="J201" s="48">
        <v>200</v>
      </c>
      <c r="K201" s="49">
        <v>4040</v>
      </c>
      <c r="L201" s="49"/>
      <c r="M201" s="238">
        <v>3146</v>
      </c>
      <c r="N201" s="49"/>
      <c r="O201" s="218">
        <v>5891</v>
      </c>
      <c r="P201" s="224"/>
      <c r="Q201" s="224"/>
    </row>
    <row r="202" spans="1:17" s="43" customFormat="1" x14ac:dyDescent="0.3">
      <c r="A202" s="40"/>
      <c r="B202" s="41"/>
      <c r="C202" s="41"/>
      <c r="D202" s="41"/>
      <c r="E202" s="41"/>
      <c r="F202" s="42"/>
      <c r="G202" s="51" t="s">
        <v>5</v>
      </c>
      <c r="H202" s="51"/>
      <c r="I202" s="47" t="s">
        <v>0</v>
      </c>
      <c r="J202" s="48">
        <v>300</v>
      </c>
      <c r="K202" s="49">
        <v>1475310</v>
      </c>
      <c r="L202" s="49"/>
      <c r="M202" s="238">
        <v>1198489</v>
      </c>
      <c r="N202" s="49"/>
      <c r="O202" s="282">
        <f>1491380+14255</f>
        <v>1505635</v>
      </c>
      <c r="P202" s="224"/>
      <c r="Q202" s="224"/>
    </row>
    <row r="203" spans="1:17" s="43" customFormat="1" ht="62.4" x14ac:dyDescent="0.3">
      <c r="A203" s="40"/>
      <c r="B203" s="319"/>
      <c r="C203" s="319"/>
      <c r="D203" s="319"/>
      <c r="E203" s="319"/>
      <c r="F203" s="320"/>
      <c r="G203" s="14" t="s">
        <v>658</v>
      </c>
      <c r="H203" s="14"/>
      <c r="I203" s="3" t="s">
        <v>659</v>
      </c>
      <c r="J203" s="215"/>
      <c r="K203" s="218"/>
      <c r="L203" s="325"/>
      <c r="M203" s="255"/>
      <c r="N203" s="255"/>
      <c r="O203" s="271">
        <f>O204</f>
        <v>0</v>
      </c>
      <c r="P203" s="224"/>
      <c r="Q203" s="224"/>
    </row>
    <row r="204" spans="1:17" s="43" customFormat="1" ht="31.2" x14ac:dyDescent="0.3">
      <c r="A204" s="40"/>
      <c r="B204" s="319"/>
      <c r="C204" s="319"/>
      <c r="D204" s="319"/>
      <c r="E204" s="319"/>
      <c r="F204" s="320"/>
      <c r="G204" s="14" t="s">
        <v>4</v>
      </c>
      <c r="H204" s="14"/>
      <c r="I204" s="3" t="s">
        <v>0</v>
      </c>
      <c r="J204" s="215">
        <v>600</v>
      </c>
      <c r="K204" s="218"/>
      <c r="L204" s="325"/>
      <c r="M204" s="255"/>
      <c r="N204" s="255"/>
      <c r="O204" s="271"/>
      <c r="P204" s="224"/>
      <c r="Q204" s="224"/>
    </row>
    <row r="205" spans="1:17" s="43" customFormat="1" ht="31.2" x14ac:dyDescent="0.3">
      <c r="A205" s="40"/>
      <c r="B205" s="378" t="s">
        <v>41</v>
      </c>
      <c r="C205" s="378"/>
      <c r="D205" s="378"/>
      <c r="E205" s="378"/>
      <c r="F205" s="379"/>
      <c r="G205" s="51" t="s">
        <v>411</v>
      </c>
      <c r="H205" s="51"/>
      <c r="I205" s="47" t="s">
        <v>193</v>
      </c>
      <c r="J205" s="48" t="s">
        <v>0</v>
      </c>
      <c r="K205" s="49">
        <f t="shared" ref="K205:O205" si="10">K206</f>
        <v>5135737</v>
      </c>
      <c r="L205" s="49">
        <f t="shared" si="10"/>
        <v>0</v>
      </c>
      <c r="M205" s="238">
        <f t="shared" si="10"/>
        <v>5135737</v>
      </c>
      <c r="N205" s="49">
        <f t="shared" si="10"/>
        <v>0</v>
      </c>
      <c r="O205" s="218">
        <f t="shared" si="10"/>
        <v>5881463</v>
      </c>
      <c r="P205" s="224"/>
      <c r="Q205" s="224"/>
    </row>
    <row r="206" spans="1:17" s="43" customFormat="1" ht="31.2" x14ac:dyDescent="0.3">
      <c r="A206" s="40"/>
      <c r="B206" s="80"/>
      <c r="C206" s="80"/>
      <c r="D206" s="80"/>
      <c r="E206" s="80"/>
      <c r="F206" s="81"/>
      <c r="G206" s="51" t="s">
        <v>4</v>
      </c>
      <c r="H206" s="51"/>
      <c r="I206" s="47" t="s">
        <v>0</v>
      </c>
      <c r="J206" s="48">
        <v>600</v>
      </c>
      <c r="K206" s="49">
        <v>5135737</v>
      </c>
      <c r="L206" s="49"/>
      <c r="M206" s="238">
        <f>K206+L206</f>
        <v>5135737</v>
      </c>
      <c r="N206" s="49"/>
      <c r="O206" s="218">
        <v>5881463</v>
      </c>
      <c r="P206" s="224"/>
      <c r="Q206" s="224"/>
    </row>
    <row r="207" spans="1:17" s="43" customFormat="1" ht="22.5" hidden="1" customHeight="1" x14ac:dyDescent="0.3">
      <c r="A207" s="40"/>
      <c r="B207" s="209"/>
      <c r="C207" s="209"/>
      <c r="D207" s="209"/>
      <c r="E207" s="209"/>
      <c r="F207" s="210"/>
      <c r="G207" s="213" t="s">
        <v>526</v>
      </c>
      <c r="H207" s="51"/>
      <c r="I207" s="214" t="s">
        <v>529</v>
      </c>
      <c r="J207" s="215"/>
      <c r="K207" s="216">
        <f>K208+K210</f>
        <v>0</v>
      </c>
      <c r="L207" s="49"/>
      <c r="M207" s="238"/>
      <c r="N207" s="49"/>
      <c r="O207" s="218"/>
      <c r="P207" s="224"/>
      <c r="Q207" s="224"/>
    </row>
    <row r="208" spans="1:17" s="43" customFormat="1" ht="66" hidden="1" customHeight="1" x14ac:dyDescent="0.3">
      <c r="A208" s="40"/>
      <c r="B208" s="209"/>
      <c r="C208" s="209"/>
      <c r="D208" s="209"/>
      <c r="E208" s="209"/>
      <c r="F208" s="210"/>
      <c r="G208" s="14" t="s">
        <v>527</v>
      </c>
      <c r="H208" s="51"/>
      <c r="I208" s="3" t="s">
        <v>520</v>
      </c>
      <c r="J208" s="217"/>
      <c r="K208" s="218">
        <f>K209</f>
        <v>0</v>
      </c>
      <c r="L208" s="49"/>
      <c r="M208" s="238"/>
      <c r="N208" s="49"/>
      <c r="O208" s="218"/>
      <c r="P208" s="224"/>
      <c r="Q208" s="224"/>
    </row>
    <row r="209" spans="1:17" s="43" customFormat="1" ht="36" hidden="1" customHeight="1" x14ac:dyDescent="0.3">
      <c r="A209" s="40"/>
      <c r="B209" s="209"/>
      <c r="C209" s="209"/>
      <c r="D209" s="209"/>
      <c r="E209" s="209"/>
      <c r="F209" s="210"/>
      <c r="G209" s="14" t="s">
        <v>4</v>
      </c>
      <c r="H209" s="51"/>
      <c r="I209" s="3" t="s">
        <v>0</v>
      </c>
      <c r="J209" s="217">
        <v>600</v>
      </c>
      <c r="K209" s="218"/>
      <c r="L209" s="49"/>
      <c r="M209" s="238"/>
      <c r="N209" s="49"/>
      <c r="O209" s="218"/>
      <c r="P209" s="224"/>
      <c r="Q209" s="224"/>
    </row>
    <row r="210" spans="1:17" s="43" customFormat="1" ht="64.5" hidden="1" customHeight="1" x14ac:dyDescent="0.3">
      <c r="A210" s="40"/>
      <c r="B210" s="209"/>
      <c r="C210" s="209"/>
      <c r="D210" s="209"/>
      <c r="E210" s="209"/>
      <c r="F210" s="210"/>
      <c r="G210" s="14" t="s">
        <v>528</v>
      </c>
      <c r="H210" s="51"/>
      <c r="I210" s="3" t="s">
        <v>521</v>
      </c>
      <c r="J210" s="217"/>
      <c r="K210" s="218">
        <f>K211</f>
        <v>0</v>
      </c>
      <c r="L210" s="49"/>
      <c r="M210" s="238"/>
      <c r="N210" s="49"/>
      <c r="O210" s="218"/>
      <c r="P210" s="224"/>
      <c r="Q210" s="224"/>
    </row>
    <row r="211" spans="1:17" s="43" customFormat="1" ht="36" hidden="1" customHeight="1" x14ac:dyDescent="0.3">
      <c r="A211" s="40"/>
      <c r="B211" s="209"/>
      <c r="C211" s="209"/>
      <c r="D211" s="209"/>
      <c r="E211" s="209"/>
      <c r="F211" s="210"/>
      <c r="G211" s="14" t="s">
        <v>4</v>
      </c>
      <c r="H211" s="51"/>
      <c r="I211" s="3" t="s">
        <v>0</v>
      </c>
      <c r="J211" s="217">
        <v>600</v>
      </c>
      <c r="K211" s="219"/>
      <c r="L211" s="49"/>
      <c r="M211" s="238"/>
      <c r="N211" s="49"/>
      <c r="O211" s="218"/>
      <c r="P211" s="224"/>
      <c r="Q211" s="224"/>
    </row>
    <row r="212" spans="1:17" s="43" customFormat="1" ht="46.8" x14ac:dyDescent="0.3">
      <c r="A212" s="40"/>
      <c r="B212" s="222"/>
      <c r="C212" s="222"/>
      <c r="D212" s="222"/>
      <c r="E212" s="222"/>
      <c r="F212" s="223"/>
      <c r="G212" s="51" t="s">
        <v>536</v>
      </c>
      <c r="H212" s="51"/>
      <c r="I212" s="47" t="s">
        <v>535</v>
      </c>
      <c r="J212" s="217"/>
      <c r="K212" s="224">
        <f>K213</f>
        <v>3192507</v>
      </c>
      <c r="L212" s="49"/>
      <c r="M212" s="238"/>
      <c r="N212" s="49">
        <f>N213</f>
        <v>0</v>
      </c>
      <c r="O212" s="218">
        <f>O213</f>
        <v>4026345</v>
      </c>
      <c r="P212" s="224"/>
      <c r="Q212" s="224"/>
    </row>
    <row r="213" spans="1:17" s="43" customFormat="1" ht="31.2" x14ac:dyDescent="0.3">
      <c r="A213" s="40"/>
      <c r="B213" s="222"/>
      <c r="C213" s="222"/>
      <c r="D213" s="222"/>
      <c r="E213" s="222"/>
      <c r="F213" s="223"/>
      <c r="G213" s="51" t="s">
        <v>4</v>
      </c>
      <c r="H213" s="51"/>
      <c r="I213" s="3"/>
      <c r="J213" s="217">
        <v>600</v>
      </c>
      <c r="K213" s="224">
        <v>3192507</v>
      </c>
      <c r="L213" s="49"/>
      <c r="M213" s="238"/>
      <c r="N213" s="49"/>
      <c r="O213" s="271">
        <v>4026345</v>
      </c>
      <c r="P213" s="224"/>
      <c r="Q213" s="224"/>
    </row>
    <row r="214" spans="1:17" s="43" customFormat="1" ht="31.2" x14ac:dyDescent="0.3">
      <c r="A214" s="40"/>
      <c r="B214" s="230"/>
      <c r="C214" s="230"/>
      <c r="D214" s="230"/>
      <c r="E214" s="230"/>
      <c r="F214" s="231"/>
      <c r="G214" s="213" t="s">
        <v>605</v>
      </c>
      <c r="H214" s="51"/>
      <c r="I214" s="214" t="s">
        <v>603</v>
      </c>
      <c r="J214" s="217"/>
      <c r="K214" s="224">
        <f>K215+K217</f>
        <v>2739210</v>
      </c>
      <c r="L214" s="49"/>
      <c r="M214" s="238"/>
      <c r="N214" s="49">
        <f>N215+N217</f>
        <v>0</v>
      </c>
      <c r="O214" s="218">
        <f>O217+O219</f>
        <v>0</v>
      </c>
      <c r="P214" s="224"/>
      <c r="Q214" s="224"/>
    </row>
    <row r="215" spans="1:17" s="43" customFormat="1" ht="46.8" hidden="1" x14ac:dyDescent="0.3">
      <c r="A215" s="40"/>
      <c r="B215" s="230"/>
      <c r="C215" s="230"/>
      <c r="D215" s="230"/>
      <c r="E215" s="230"/>
      <c r="F215" s="231"/>
      <c r="G215" s="208" t="s">
        <v>565</v>
      </c>
      <c r="H215" s="51"/>
      <c r="I215" s="3" t="s">
        <v>564</v>
      </c>
      <c r="J215" s="217"/>
      <c r="K215" s="224">
        <f>K216</f>
        <v>1000000</v>
      </c>
      <c r="L215" s="49"/>
      <c r="M215" s="238"/>
      <c r="N215" s="49">
        <f>N216</f>
        <v>0</v>
      </c>
      <c r="O215" s="218">
        <f>O216</f>
        <v>0</v>
      </c>
      <c r="P215" s="224"/>
      <c r="Q215" s="224"/>
    </row>
    <row r="216" spans="1:17" s="43" customFormat="1" ht="31.2" hidden="1" x14ac:dyDescent="0.3">
      <c r="A216" s="40"/>
      <c r="B216" s="230"/>
      <c r="C216" s="230"/>
      <c r="D216" s="230"/>
      <c r="E216" s="230"/>
      <c r="F216" s="231"/>
      <c r="G216" s="51" t="s">
        <v>4</v>
      </c>
      <c r="H216" s="51"/>
      <c r="I216" s="3"/>
      <c r="J216" s="217">
        <v>600</v>
      </c>
      <c r="K216" s="224">
        <v>1000000</v>
      </c>
      <c r="L216" s="49"/>
      <c r="M216" s="238"/>
      <c r="N216" s="49"/>
      <c r="O216" s="218"/>
      <c r="P216" s="224"/>
      <c r="Q216" s="224"/>
    </row>
    <row r="217" spans="1:17" s="43" customFormat="1" ht="31.2" x14ac:dyDescent="0.3">
      <c r="A217" s="40"/>
      <c r="B217" s="230"/>
      <c r="C217" s="230"/>
      <c r="D217" s="230"/>
      <c r="E217" s="230"/>
      <c r="F217" s="231"/>
      <c r="G217" s="208" t="s">
        <v>614</v>
      </c>
      <c r="H217" s="51"/>
      <c r="I217" s="3" t="s">
        <v>604</v>
      </c>
      <c r="J217" s="217"/>
      <c r="K217" s="224">
        <f>K218</f>
        <v>1739210</v>
      </c>
      <c r="L217" s="49"/>
      <c r="M217" s="238"/>
      <c r="N217" s="49">
        <f>N218</f>
        <v>0</v>
      </c>
      <c r="O217" s="218">
        <f>O218</f>
        <v>0</v>
      </c>
      <c r="P217" s="224"/>
      <c r="Q217" s="224"/>
    </row>
    <row r="218" spans="1:17" s="43" customFormat="1" ht="31.2" x14ac:dyDescent="0.3">
      <c r="A218" s="40"/>
      <c r="B218" s="230"/>
      <c r="C218" s="230"/>
      <c r="D218" s="230"/>
      <c r="E218" s="230"/>
      <c r="F218" s="231"/>
      <c r="G218" s="51" t="s">
        <v>4</v>
      </c>
      <c r="H218" s="51"/>
      <c r="I218" s="3"/>
      <c r="J218" s="217">
        <v>600</v>
      </c>
      <c r="K218" s="224">
        <v>1739210</v>
      </c>
      <c r="L218" s="49"/>
      <c r="M218" s="238"/>
      <c r="N218" s="49">
        <v>0</v>
      </c>
      <c r="O218" s="218"/>
      <c r="P218" s="224"/>
      <c r="Q218" s="224"/>
    </row>
    <row r="219" spans="1:17" s="43" customFormat="1" ht="46.8" x14ac:dyDescent="0.3">
      <c r="A219" s="40"/>
      <c r="B219" s="288"/>
      <c r="C219" s="288"/>
      <c r="D219" s="288"/>
      <c r="E219" s="288"/>
      <c r="F219" s="289"/>
      <c r="G219" s="51" t="s">
        <v>613</v>
      </c>
      <c r="H219" s="51"/>
      <c r="I219" s="3" t="s">
        <v>610</v>
      </c>
      <c r="J219" s="217"/>
      <c r="K219" s="224"/>
      <c r="L219" s="49"/>
      <c r="M219" s="238"/>
      <c r="N219" s="49"/>
      <c r="O219" s="218">
        <f>O220</f>
        <v>0</v>
      </c>
      <c r="P219" s="224"/>
      <c r="Q219" s="224"/>
    </row>
    <row r="220" spans="1:17" s="43" customFormat="1" ht="31.2" x14ac:dyDescent="0.3">
      <c r="A220" s="40"/>
      <c r="B220" s="288"/>
      <c r="C220" s="288"/>
      <c r="D220" s="288"/>
      <c r="E220" s="288"/>
      <c r="F220" s="289"/>
      <c r="G220" s="51" t="s">
        <v>4</v>
      </c>
      <c r="H220" s="51"/>
      <c r="I220" s="3"/>
      <c r="J220" s="217">
        <v>600</v>
      </c>
      <c r="K220" s="224"/>
      <c r="L220" s="49"/>
      <c r="M220" s="238"/>
      <c r="N220" s="49"/>
      <c r="O220" s="271"/>
      <c r="P220" s="224"/>
      <c r="Q220" s="224"/>
    </row>
    <row r="221" spans="1:17" s="43" customFormat="1" ht="46.8" x14ac:dyDescent="0.3">
      <c r="A221" s="40"/>
      <c r="B221" s="288"/>
      <c r="C221" s="288"/>
      <c r="D221" s="288"/>
      <c r="E221" s="288"/>
      <c r="F221" s="289"/>
      <c r="G221" s="51" t="s">
        <v>616</v>
      </c>
      <c r="H221" s="51"/>
      <c r="I221" s="214" t="s">
        <v>611</v>
      </c>
      <c r="J221" s="217"/>
      <c r="K221" s="224"/>
      <c r="L221" s="49"/>
      <c r="M221" s="238"/>
      <c r="N221" s="49"/>
      <c r="O221" s="218">
        <f>O222</f>
        <v>1000000</v>
      </c>
      <c r="P221" s="224"/>
      <c r="Q221" s="224"/>
    </row>
    <row r="222" spans="1:17" s="43" customFormat="1" ht="46.8" x14ac:dyDescent="0.3">
      <c r="A222" s="40"/>
      <c r="B222" s="288"/>
      <c r="C222" s="288"/>
      <c r="D222" s="288"/>
      <c r="E222" s="288"/>
      <c r="F222" s="289"/>
      <c r="G222" s="51" t="s">
        <v>615</v>
      </c>
      <c r="H222" s="51"/>
      <c r="I222" s="47" t="s">
        <v>612</v>
      </c>
      <c r="J222" s="217"/>
      <c r="K222" s="224"/>
      <c r="L222" s="49"/>
      <c r="M222" s="238"/>
      <c r="N222" s="49"/>
      <c r="O222" s="218">
        <f>O223</f>
        <v>1000000</v>
      </c>
      <c r="P222" s="224"/>
      <c r="Q222" s="224"/>
    </row>
    <row r="223" spans="1:17" s="43" customFormat="1" ht="31.2" x14ac:dyDescent="0.3">
      <c r="A223" s="40"/>
      <c r="B223" s="288"/>
      <c r="C223" s="288"/>
      <c r="D223" s="288"/>
      <c r="E223" s="288"/>
      <c r="F223" s="289"/>
      <c r="G223" s="51" t="s">
        <v>4</v>
      </c>
      <c r="H223" s="51"/>
      <c r="I223" s="3"/>
      <c r="J223" s="217">
        <v>600</v>
      </c>
      <c r="K223" s="224"/>
      <c r="L223" s="49"/>
      <c r="M223" s="238"/>
      <c r="N223" s="49"/>
      <c r="O223" s="218">
        <v>1000000</v>
      </c>
      <c r="P223" s="224"/>
      <c r="Q223" s="224"/>
    </row>
    <row r="224" spans="1:17" s="43" customFormat="1" x14ac:dyDescent="0.3">
      <c r="A224" s="40"/>
      <c r="B224" s="294"/>
      <c r="C224" s="294"/>
      <c r="D224" s="294"/>
      <c r="E224" s="294"/>
      <c r="F224" s="295"/>
      <c r="G224" s="213" t="s">
        <v>526</v>
      </c>
      <c r="H224" s="51"/>
      <c r="I224" s="214" t="s">
        <v>618</v>
      </c>
      <c r="J224" s="217"/>
      <c r="K224" s="224"/>
      <c r="L224" s="49"/>
      <c r="M224" s="238"/>
      <c r="N224" s="49"/>
      <c r="O224" s="218">
        <f>O225+O227</f>
        <v>2161194</v>
      </c>
      <c r="P224" s="224"/>
      <c r="Q224" s="224"/>
    </row>
    <row r="225" spans="1:17" s="43" customFormat="1" ht="46.8" x14ac:dyDescent="0.3">
      <c r="A225" s="40"/>
      <c r="B225" s="294"/>
      <c r="C225" s="294"/>
      <c r="D225" s="294"/>
      <c r="E225" s="294"/>
      <c r="F225" s="295"/>
      <c r="G225" s="208" t="s">
        <v>565</v>
      </c>
      <c r="H225" s="51"/>
      <c r="I225" s="3" t="s">
        <v>564</v>
      </c>
      <c r="J225" s="217"/>
      <c r="K225" s="224"/>
      <c r="L225" s="49"/>
      <c r="M225" s="238"/>
      <c r="N225" s="49"/>
      <c r="O225" s="218">
        <f>O226</f>
        <v>1000000</v>
      </c>
      <c r="P225" s="224"/>
      <c r="Q225" s="224"/>
    </row>
    <row r="226" spans="1:17" s="43" customFormat="1" ht="31.2" x14ac:dyDescent="0.3">
      <c r="A226" s="40"/>
      <c r="B226" s="294"/>
      <c r="C226" s="294"/>
      <c r="D226" s="294"/>
      <c r="E226" s="294"/>
      <c r="F226" s="295"/>
      <c r="G226" s="51" t="s">
        <v>4</v>
      </c>
      <c r="H226" s="51"/>
      <c r="I226" s="3"/>
      <c r="J226" s="217">
        <v>600</v>
      </c>
      <c r="K226" s="224"/>
      <c r="L226" s="49"/>
      <c r="M226" s="238"/>
      <c r="N226" s="49"/>
      <c r="O226" s="218">
        <v>1000000</v>
      </c>
      <c r="P226" s="224"/>
      <c r="Q226" s="224"/>
    </row>
    <row r="227" spans="1:17" s="43" customFormat="1" ht="62.4" x14ac:dyDescent="0.3">
      <c r="A227" s="40"/>
      <c r="B227" s="294"/>
      <c r="C227" s="294"/>
      <c r="D227" s="294"/>
      <c r="E227" s="294"/>
      <c r="F227" s="295"/>
      <c r="G227" s="208" t="s">
        <v>620</v>
      </c>
      <c r="H227" s="51"/>
      <c r="I227" s="3" t="s">
        <v>619</v>
      </c>
      <c r="J227" s="217"/>
      <c r="K227" s="224"/>
      <c r="L227" s="49"/>
      <c r="M227" s="238"/>
      <c r="N227" s="49"/>
      <c r="O227" s="218">
        <f>O228</f>
        <v>1161194</v>
      </c>
      <c r="P227" s="224"/>
      <c r="Q227" s="224"/>
    </row>
    <row r="228" spans="1:17" s="43" customFormat="1" ht="31.2" x14ac:dyDescent="0.3">
      <c r="A228" s="40"/>
      <c r="B228" s="294"/>
      <c r="C228" s="294"/>
      <c r="D228" s="294"/>
      <c r="E228" s="294"/>
      <c r="F228" s="295"/>
      <c r="G228" s="51" t="s">
        <v>4</v>
      </c>
      <c r="H228" s="51"/>
      <c r="I228" s="3"/>
      <c r="J228" s="217">
        <v>600</v>
      </c>
      <c r="K228" s="224"/>
      <c r="L228" s="49"/>
      <c r="M228" s="238"/>
      <c r="N228" s="49"/>
      <c r="O228" s="218">
        <f>52632+409452+699110</f>
        <v>1161194</v>
      </c>
      <c r="P228" s="224"/>
      <c r="Q228" s="224"/>
    </row>
    <row r="229" spans="1:17" ht="46.8" x14ac:dyDescent="0.3">
      <c r="A229" s="4"/>
      <c r="B229" s="17"/>
      <c r="C229" s="17"/>
      <c r="D229" s="17"/>
      <c r="E229" s="17"/>
      <c r="F229" s="18"/>
      <c r="G229" s="329" t="s">
        <v>686</v>
      </c>
      <c r="H229" s="114"/>
      <c r="I229" s="60" t="s">
        <v>215</v>
      </c>
      <c r="J229" s="115"/>
      <c r="K229" s="116">
        <f t="shared" ref="K229:O230" si="11">K230</f>
        <v>2717494</v>
      </c>
      <c r="L229" s="116">
        <f t="shared" si="11"/>
        <v>0</v>
      </c>
      <c r="M229" s="235">
        <f t="shared" si="11"/>
        <v>1862450</v>
      </c>
      <c r="N229" s="116">
        <f t="shared" si="11"/>
        <v>0</v>
      </c>
      <c r="O229" s="251">
        <f t="shared" si="11"/>
        <v>3281247</v>
      </c>
      <c r="P229" s="265"/>
      <c r="Q229" s="265"/>
    </row>
    <row r="230" spans="1:17" ht="62.4" x14ac:dyDescent="0.3">
      <c r="A230" s="4"/>
      <c r="B230" s="17"/>
      <c r="C230" s="17"/>
      <c r="D230" s="17"/>
      <c r="E230" s="17"/>
      <c r="F230" s="18"/>
      <c r="G230" s="330" t="s">
        <v>687</v>
      </c>
      <c r="H230" s="117"/>
      <c r="I230" s="47" t="s">
        <v>216</v>
      </c>
      <c r="J230" s="118"/>
      <c r="K230" s="119">
        <f t="shared" si="11"/>
        <v>2717494</v>
      </c>
      <c r="L230" s="119">
        <f t="shared" si="11"/>
        <v>0</v>
      </c>
      <c r="M230" s="236">
        <f t="shared" si="11"/>
        <v>1862450</v>
      </c>
      <c r="N230" s="119">
        <f t="shared" si="11"/>
        <v>0</v>
      </c>
      <c r="O230" s="218">
        <f t="shared" si="11"/>
        <v>3281247</v>
      </c>
      <c r="P230" s="224"/>
      <c r="Q230" s="224"/>
    </row>
    <row r="231" spans="1:17" s="56" customFormat="1" ht="46.8" x14ac:dyDescent="0.3">
      <c r="A231" s="53"/>
      <c r="B231" s="54"/>
      <c r="C231" s="54"/>
      <c r="D231" s="54"/>
      <c r="E231" s="54"/>
      <c r="F231" s="55"/>
      <c r="G231" s="120" t="s">
        <v>342</v>
      </c>
      <c r="H231" s="120"/>
      <c r="I231" s="64" t="s">
        <v>217</v>
      </c>
      <c r="J231" s="118"/>
      <c r="K231" s="119">
        <f t="shared" ref="K231:O231" si="12">K232+K237+K242+K251+K253+K235</f>
        <v>2717494</v>
      </c>
      <c r="L231" s="119">
        <f t="shared" si="12"/>
        <v>0</v>
      </c>
      <c r="M231" s="236">
        <f t="shared" si="12"/>
        <v>1862450</v>
      </c>
      <c r="N231" s="119">
        <f t="shared" si="12"/>
        <v>0</v>
      </c>
      <c r="O231" s="218">
        <f t="shared" si="12"/>
        <v>3281247</v>
      </c>
      <c r="P231" s="224"/>
      <c r="Q231" s="224"/>
    </row>
    <row r="232" spans="1:17" ht="78" x14ac:dyDescent="0.3">
      <c r="A232" s="4"/>
      <c r="B232" s="17"/>
      <c r="C232" s="17"/>
      <c r="D232" s="17"/>
      <c r="E232" s="17"/>
      <c r="F232" s="18"/>
      <c r="G232" s="330" t="s">
        <v>688</v>
      </c>
      <c r="H232" s="117"/>
      <c r="I232" s="47" t="s">
        <v>218</v>
      </c>
      <c r="J232" s="118"/>
      <c r="K232" s="119">
        <f>K233+K234</f>
        <v>437541</v>
      </c>
      <c r="L232" s="119">
        <f>L233+L234</f>
        <v>0</v>
      </c>
      <c r="M232" s="236">
        <f>M233+M234</f>
        <v>437541</v>
      </c>
      <c r="N232" s="119">
        <f>N233+N234</f>
        <v>0</v>
      </c>
      <c r="O232" s="218">
        <f>O233+O234</f>
        <v>422188</v>
      </c>
      <c r="P232" s="224"/>
      <c r="Q232" s="224"/>
    </row>
    <row r="233" spans="1:17" s="50" customFormat="1" ht="31.2" hidden="1" x14ac:dyDescent="0.3">
      <c r="A233" s="44"/>
      <c r="B233" s="77"/>
      <c r="C233" s="77"/>
      <c r="D233" s="77"/>
      <c r="E233" s="77"/>
      <c r="F233" s="78"/>
      <c r="G233" s="117" t="s">
        <v>2</v>
      </c>
      <c r="H233" s="117"/>
      <c r="I233" s="118"/>
      <c r="J233" s="118">
        <v>200</v>
      </c>
      <c r="K233" s="119">
        <v>0</v>
      </c>
      <c r="L233" s="119"/>
      <c r="M233" s="236">
        <v>0</v>
      </c>
      <c r="N233" s="119"/>
      <c r="O233" s="218"/>
      <c r="P233" s="224"/>
      <c r="Q233" s="224"/>
    </row>
    <row r="234" spans="1:17" ht="31.2" x14ac:dyDescent="0.3">
      <c r="A234" s="4"/>
      <c r="B234" s="17"/>
      <c r="C234" s="17"/>
      <c r="D234" s="17"/>
      <c r="E234" s="17"/>
      <c r="F234" s="18"/>
      <c r="G234" s="117" t="s">
        <v>4</v>
      </c>
      <c r="H234" s="117"/>
      <c r="I234" s="118"/>
      <c r="J234" s="118">
        <v>600</v>
      </c>
      <c r="K234" s="119">
        <v>437541</v>
      </c>
      <c r="L234" s="119">
        <v>0</v>
      </c>
      <c r="M234" s="236">
        <f>K234+L234</f>
        <v>437541</v>
      </c>
      <c r="N234" s="119">
        <v>0</v>
      </c>
      <c r="O234" s="271">
        <f>469538-47350</f>
        <v>422188</v>
      </c>
      <c r="P234" s="224"/>
      <c r="Q234" s="224"/>
    </row>
    <row r="235" spans="1:17" ht="46.8" x14ac:dyDescent="0.3">
      <c r="A235" s="4"/>
      <c r="B235" s="17"/>
      <c r="C235" s="17"/>
      <c r="D235" s="17"/>
      <c r="E235" s="17"/>
      <c r="F235" s="18"/>
      <c r="G235" s="117" t="s">
        <v>471</v>
      </c>
      <c r="H235" s="117"/>
      <c r="I235" s="118" t="s">
        <v>472</v>
      </c>
      <c r="J235" s="118"/>
      <c r="K235" s="119">
        <f>K236</f>
        <v>58122</v>
      </c>
      <c r="L235" s="119">
        <f>L236</f>
        <v>0</v>
      </c>
      <c r="M235" s="236">
        <f>M236</f>
        <v>58122</v>
      </c>
      <c r="N235" s="119">
        <f>N236</f>
        <v>0</v>
      </c>
      <c r="O235" s="218">
        <f>O236</f>
        <v>78587</v>
      </c>
      <c r="P235" s="224"/>
      <c r="Q235" s="224"/>
    </row>
    <row r="236" spans="1:17" ht="31.2" x14ac:dyDescent="0.3">
      <c r="A236" s="4"/>
      <c r="B236" s="17"/>
      <c r="C236" s="17"/>
      <c r="D236" s="17"/>
      <c r="E236" s="17"/>
      <c r="F236" s="18"/>
      <c r="G236" s="117" t="s">
        <v>4</v>
      </c>
      <c r="H236" s="117"/>
      <c r="I236" s="118"/>
      <c r="J236" s="118">
        <v>600</v>
      </c>
      <c r="K236" s="119">
        <v>58122</v>
      </c>
      <c r="L236" s="119">
        <v>0</v>
      </c>
      <c r="M236" s="236">
        <f>K236+L236</f>
        <v>58122</v>
      </c>
      <c r="N236" s="119">
        <v>0</v>
      </c>
      <c r="O236" s="271">
        <f>74474+4113</f>
        <v>78587</v>
      </c>
      <c r="P236" s="224"/>
      <c r="Q236" s="224"/>
    </row>
    <row r="237" spans="1:17" s="43" customFormat="1" ht="46.8" x14ac:dyDescent="0.3">
      <c r="A237" s="40"/>
      <c r="B237" s="41"/>
      <c r="C237" s="41"/>
      <c r="D237" s="41"/>
      <c r="E237" s="41"/>
      <c r="F237" s="42"/>
      <c r="G237" s="117" t="s">
        <v>90</v>
      </c>
      <c r="H237" s="117"/>
      <c r="I237" s="47" t="s">
        <v>219</v>
      </c>
      <c r="J237" s="118"/>
      <c r="K237" s="119">
        <f>K239+K241</f>
        <v>47628</v>
      </c>
      <c r="L237" s="119">
        <f>L239+L241</f>
        <v>0</v>
      </c>
      <c r="M237" s="236">
        <f>M239+M241</f>
        <v>47628</v>
      </c>
      <c r="N237" s="119">
        <f>N239+N241</f>
        <v>0</v>
      </c>
      <c r="O237" s="218">
        <f>O240+O241</f>
        <v>65092</v>
      </c>
      <c r="P237" s="224"/>
      <c r="Q237" s="224"/>
    </row>
    <row r="238" spans="1:17" s="43" customFormat="1" ht="40.5" hidden="1" customHeight="1" x14ac:dyDescent="0.3">
      <c r="A238" s="40"/>
      <c r="B238" s="41"/>
      <c r="C238" s="41"/>
      <c r="D238" s="41"/>
      <c r="E238" s="41"/>
      <c r="F238" s="42"/>
      <c r="G238" s="51" t="s">
        <v>2</v>
      </c>
      <c r="H238" s="117"/>
      <c r="I238" s="130"/>
      <c r="J238" s="118">
        <v>200</v>
      </c>
      <c r="K238" s="119"/>
      <c r="L238" s="119"/>
      <c r="M238" s="236"/>
      <c r="N238" s="119"/>
      <c r="O238" s="218"/>
      <c r="P238" s="224"/>
      <c r="Q238" s="224"/>
    </row>
    <row r="239" spans="1:17" s="43" customFormat="1" ht="40.5" hidden="1" customHeight="1" x14ac:dyDescent="0.3">
      <c r="A239" s="40"/>
      <c r="B239" s="190"/>
      <c r="C239" s="190"/>
      <c r="D239" s="190"/>
      <c r="E239" s="190"/>
      <c r="F239" s="191"/>
      <c r="G239" s="117" t="s">
        <v>2</v>
      </c>
      <c r="H239" s="117"/>
      <c r="I239" s="130"/>
      <c r="J239" s="118">
        <v>200</v>
      </c>
      <c r="K239" s="119"/>
      <c r="L239" s="119">
        <v>0</v>
      </c>
      <c r="M239" s="236">
        <f>K239+L239</f>
        <v>0</v>
      </c>
      <c r="N239" s="119"/>
      <c r="O239" s="218"/>
      <c r="P239" s="224"/>
      <c r="Q239" s="224"/>
    </row>
    <row r="240" spans="1:17" s="43" customFormat="1" ht="40.5" customHeight="1" x14ac:dyDescent="0.3">
      <c r="A240" s="40"/>
      <c r="B240" s="340"/>
      <c r="C240" s="340"/>
      <c r="D240" s="340"/>
      <c r="E240" s="340"/>
      <c r="F240" s="341"/>
      <c r="G240" s="117" t="s">
        <v>2</v>
      </c>
      <c r="H240" s="117"/>
      <c r="I240" s="130"/>
      <c r="J240" s="118">
        <v>200</v>
      </c>
      <c r="K240" s="119"/>
      <c r="L240" s="119"/>
      <c r="M240" s="236"/>
      <c r="N240" s="119"/>
      <c r="O240" s="218">
        <v>794.2</v>
      </c>
      <c r="P240" s="224"/>
      <c r="Q240" s="224"/>
    </row>
    <row r="241" spans="1:17" s="43" customFormat="1" ht="31.2" x14ac:dyDescent="0.3">
      <c r="A241" s="40"/>
      <c r="B241" s="41"/>
      <c r="C241" s="41"/>
      <c r="D241" s="41"/>
      <c r="E241" s="41"/>
      <c r="F241" s="42"/>
      <c r="G241" s="117" t="s">
        <v>4</v>
      </c>
      <c r="H241" s="117"/>
      <c r="I241" s="118"/>
      <c r="J241" s="118">
        <v>600</v>
      </c>
      <c r="K241" s="119">
        <v>47628</v>
      </c>
      <c r="L241" s="119">
        <v>0</v>
      </c>
      <c r="M241" s="236">
        <f>K241+L241</f>
        <v>47628</v>
      </c>
      <c r="N241" s="119"/>
      <c r="O241" s="218">
        <f>65092-794.2</f>
        <v>64297.8</v>
      </c>
      <c r="P241" s="224"/>
      <c r="Q241" s="224"/>
    </row>
    <row r="242" spans="1:17" s="43" customFormat="1" ht="78" x14ac:dyDescent="0.3">
      <c r="A242" s="40"/>
      <c r="B242" s="41"/>
      <c r="C242" s="41"/>
      <c r="D242" s="41"/>
      <c r="E242" s="41"/>
      <c r="F242" s="42"/>
      <c r="G242" s="117" t="s">
        <v>91</v>
      </c>
      <c r="H242" s="117"/>
      <c r="I242" s="47" t="s">
        <v>220</v>
      </c>
      <c r="J242" s="118"/>
      <c r="K242" s="119">
        <f>K249+K250+K246</f>
        <v>2151198</v>
      </c>
      <c r="L242" s="119">
        <f>L244+L245+L250</f>
        <v>0</v>
      </c>
      <c r="M242" s="236">
        <f>M244+M245+M250</f>
        <v>1257358</v>
      </c>
      <c r="N242" s="119">
        <f t="shared" ref="N242" si="13">N249+N250+N246</f>
        <v>0</v>
      </c>
      <c r="O242" s="218">
        <f>O248+O249+O250</f>
        <v>2630202</v>
      </c>
      <c r="P242" s="224"/>
      <c r="Q242" s="224"/>
    </row>
    <row r="243" spans="1:17" s="43" customFormat="1" ht="32.25" hidden="1" customHeight="1" x14ac:dyDescent="0.3">
      <c r="A243" s="40"/>
      <c r="B243" s="41"/>
      <c r="C243" s="41"/>
      <c r="D243" s="41"/>
      <c r="E243" s="41"/>
      <c r="F243" s="42"/>
      <c r="G243" s="117" t="s">
        <v>5</v>
      </c>
      <c r="H243" s="117"/>
      <c r="I243" s="130"/>
      <c r="J243" s="118">
        <v>300</v>
      </c>
      <c r="K243" s="119"/>
      <c r="L243" s="119"/>
      <c r="M243" s="236"/>
      <c r="N243" s="119"/>
      <c r="O243" s="218"/>
      <c r="P243" s="224"/>
      <c r="Q243" s="224"/>
    </row>
    <row r="244" spans="1:17" s="43" customFormat="1" ht="32.25" hidden="1" customHeight="1" x14ac:dyDescent="0.3">
      <c r="A244" s="40"/>
      <c r="B244" s="190"/>
      <c r="C244" s="190"/>
      <c r="D244" s="190"/>
      <c r="E244" s="190"/>
      <c r="F244" s="191"/>
      <c r="G244" s="117" t="s">
        <v>2</v>
      </c>
      <c r="H244" s="131"/>
      <c r="I244" s="192"/>
      <c r="J244" s="132">
        <v>200</v>
      </c>
      <c r="K244" s="133"/>
      <c r="L244" s="133">
        <v>0</v>
      </c>
      <c r="M244" s="240">
        <f>K244+L244</f>
        <v>0</v>
      </c>
      <c r="N244" s="119"/>
      <c r="O244" s="218"/>
      <c r="P244" s="224"/>
      <c r="Q244" s="224"/>
    </row>
    <row r="245" spans="1:17" s="43" customFormat="1" ht="21" hidden="1" customHeight="1" x14ac:dyDescent="0.3">
      <c r="A245" s="40"/>
      <c r="B245" s="190"/>
      <c r="C245" s="190"/>
      <c r="D245" s="190"/>
      <c r="E245" s="190"/>
      <c r="F245" s="191"/>
      <c r="G245" s="117" t="s">
        <v>5</v>
      </c>
      <c r="H245" s="131"/>
      <c r="I245" s="192"/>
      <c r="J245" s="132">
        <v>300</v>
      </c>
      <c r="K245" s="133"/>
      <c r="L245" s="133">
        <v>0</v>
      </c>
      <c r="M245" s="240">
        <f>K245+L245</f>
        <v>0</v>
      </c>
      <c r="N245" s="119"/>
      <c r="O245" s="218"/>
      <c r="P245" s="224"/>
      <c r="Q245" s="224"/>
    </row>
    <row r="246" spans="1:17" s="43" customFormat="1" ht="37.5" hidden="1" customHeight="1" x14ac:dyDescent="0.3">
      <c r="A246" s="40"/>
      <c r="B246" s="258"/>
      <c r="C246" s="258"/>
      <c r="D246" s="258"/>
      <c r="E246" s="258"/>
      <c r="F246" s="259"/>
      <c r="G246" s="117" t="s">
        <v>2</v>
      </c>
      <c r="H246" s="131"/>
      <c r="I246" s="192"/>
      <c r="J246" s="132">
        <v>200</v>
      </c>
      <c r="K246" s="133">
        <v>466</v>
      </c>
      <c r="L246" s="133"/>
      <c r="M246" s="240"/>
      <c r="N246" s="119">
        <v>0</v>
      </c>
      <c r="O246" s="218"/>
      <c r="P246" s="224"/>
      <c r="Q246" s="224"/>
    </row>
    <row r="247" spans="1:17" s="43" customFormat="1" ht="37.5" hidden="1" customHeight="1" x14ac:dyDescent="0.3">
      <c r="A247" s="40"/>
      <c r="B247" s="304"/>
      <c r="C247" s="304"/>
      <c r="D247" s="304"/>
      <c r="E247" s="304"/>
      <c r="F247" s="305"/>
      <c r="G247" s="117" t="s">
        <v>2</v>
      </c>
      <c r="H247" s="131"/>
      <c r="I247" s="192"/>
      <c r="J247" s="132">
        <v>200</v>
      </c>
      <c r="K247" s="133"/>
      <c r="L247" s="133"/>
      <c r="M247" s="240"/>
      <c r="N247" s="119"/>
      <c r="O247" s="218"/>
      <c r="P247" s="224"/>
      <c r="Q247" s="224"/>
    </row>
    <row r="248" spans="1:17" s="43" customFormat="1" ht="37.5" customHeight="1" x14ac:dyDescent="0.3">
      <c r="A248" s="40"/>
      <c r="B248" s="340"/>
      <c r="C248" s="340"/>
      <c r="D248" s="340"/>
      <c r="E248" s="340"/>
      <c r="F248" s="341"/>
      <c r="G248" s="117" t="s">
        <v>2</v>
      </c>
      <c r="H248" s="131"/>
      <c r="I248" s="192"/>
      <c r="J248" s="132">
        <v>200</v>
      </c>
      <c r="K248" s="133"/>
      <c r="L248" s="133"/>
      <c r="M248" s="240"/>
      <c r="N248" s="119"/>
      <c r="O248" s="218">
        <v>10167</v>
      </c>
      <c r="P248" s="224"/>
      <c r="Q248" s="224"/>
    </row>
    <row r="249" spans="1:17" s="43" customFormat="1" x14ac:dyDescent="0.3">
      <c r="A249" s="40"/>
      <c r="B249" s="220"/>
      <c r="C249" s="220"/>
      <c r="D249" s="220"/>
      <c r="E249" s="220"/>
      <c r="F249" s="221"/>
      <c r="G249" s="117" t="s">
        <v>5</v>
      </c>
      <c r="H249" s="131"/>
      <c r="I249" s="192"/>
      <c r="J249" s="132">
        <v>300</v>
      </c>
      <c r="K249" s="133">
        <v>893374</v>
      </c>
      <c r="L249" s="133"/>
      <c r="M249" s="240"/>
      <c r="N249" s="119">
        <v>0</v>
      </c>
      <c r="O249" s="49">
        <f>892572-8052</f>
        <v>884520</v>
      </c>
      <c r="P249" s="224"/>
      <c r="Q249" s="224"/>
    </row>
    <row r="250" spans="1:17" s="43" customFormat="1" ht="31.2" x14ac:dyDescent="0.3">
      <c r="A250" s="40"/>
      <c r="B250" s="41"/>
      <c r="C250" s="41"/>
      <c r="D250" s="41"/>
      <c r="E250" s="41"/>
      <c r="F250" s="42"/>
      <c r="G250" s="131" t="s">
        <v>4</v>
      </c>
      <c r="H250" s="131"/>
      <c r="I250" s="132"/>
      <c r="J250" s="132">
        <v>600</v>
      </c>
      <c r="K250" s="133">
        <v>1257358</v>
      </c>
      <c r="L250" s="133">
        <v>0</v>
      </c>
      <c r="M250" s="240">
        <f>K250+L250</f>
        <v>1257358</v>
      </c>
      <c r="N250" s="119">
        <v>0</v>
      </c>
      <c r="O250" s="271">
        <f>1737630-2115</f>
        <v>1735515</v>
      </c>
      <c r="P250" s="224"/>
      <c r="Q250" s="224"/>
    </row>
    <row r="251" spans="1:17" s="43" customFormat="1" ht="31.2" x14ac:dyDescent="0.3">
      <c r="A251" s="40"/>
      <c r="B251" s="41"/>
      <c r="C251" s="41"/>
      <c r="D251" s="41"/>
      <c r="E251" s="41"/>
      <c r="F251" s="42"/>
      <c r="G251" s="117" t="s">
        <v>361</v>
      </c>
      <c r="H251" s="131"/>
      <c r="I251" s="47" t="s">
        <v>351</v>
      </c>
      <c r="J251" s="132"/>
      <c r="K251" s="133">
        <f>K252</f>
        <v>13803</v>
      </c>
      <c r="L251" s="133"/>
      <c r="M251" s="240">
        <f>M252</f>
        <v>52981</v>
      </c>
      <c r="N251" s="119">
        <f>N252</f>
        <v>0</v>
      </c>
      <c r="O251" s="218">
        <f>O252</f>
        <v>74531</v>
      </c>
      <c r="P251" s="224"/>
      <c r="Q251" s="224"/>
    </row>
    <row r="252" spans="1:17" s="43" customFormat="1" x14ac:dyDescent="0.3">
      <c r="A252" s="40"/>
      <c r="B252" s="41"/>
      <c r="C252" s="41"/>
      <c r="D252" s="41"/>
      <c r="E252" s="41"/>
      <c r="F252" s="42"/>
      <c r="G252" s="117" t="s">
        <v>5</v>
      </c>
      <c r="H252" s="131"/>
      <c r="I252" s="132"/>
      <c r="J252" s="132">
        <v>300</v>
      </c>
      <c r="K252" s="133">
        <v>13803</v>
      </c>
      <c r="L252" s="133"/>
      <c r="M252" s="240">
        <v>52981</v>
      </c>
      <c r="N252" s="119"/>
      <c r="O252" s="218">
        <v>74531</v>
      </c>
      <c r="P252" s="224"/>
      <c r="Q252" s="224"/>
    </row>
    <row r="253" spans="1:17" s="43" customFormat="1" ht="31.2" x14ac:dyDescent="0.3">
      <c r="A253" s="40"/>
      <c r="B253" s="41"/>
      <c r="C253" s="41"/>
      <c r="D253" s="41"/>
      <c r="E253" s="41"/>
      <c r="F253" s="42"/>
      <c r="G253" s="117" t="s">
        <v>368</v>
      </c>
      <c r="H253" s="131"/>
      <c r="I253" s="47" t="s">
        <v>367</v>
      </c>
      <c r="J253" s="132"/>
      <c r="K253" s="133">
        <f>K254</f>
        <v>9202</v>
      </c>
      <c r="L253" s="133"/>
      <c r="M253" s="240">
        <f>M254</f>
        <v>8820</v>
      </c>
      <c r="N253" s="119">
        <f>N254</f>
        <v>0</v>
      </c>
      <c r="O253" s="218">
        <f>O254</f>
        <v>10647</v>
      </c>
      <c r="P253" s="224"/>
      <c r="Q253" s="224"/>
    </row>
    <row r="254" spans="1:17" s="43" customFormat="1" x14ac:dyDescent="0.3">
      <c r="A254" s="40"/>
      <c r="B254" s="41"/>
      <c r="C254" s="41"/>
      <c r="D254" s="41"/>
      <c r="E254" s="41"/>
      <c r="F254" s="42"/>
      <c r="G254" s="117" t="s">
        <v>5</v>
      </c>
      <c r="H254" s="131"/>
      <c r="I254" s="132"/>
      <c r="J254" s="132">
        <v>300</v>
      </c>
      <c r="K254" s="133">
        <v>9202</v>
      </c>
      <c r="L254" s="133"/>
      <c r="M254" s="240">
        <v>8820</v>
      </c>
      <c r="N254" s="119"/>
      <c r="O254" s="218">
        <v>10647</v>
      </c>
      <c r="P254" s="224"/>
      <c r="Q254" s="224"/>
    </row>
    <row r="255" spans="1:17" ht="31.2" x14ac:dyDescent="0.3">
      <c r="A255" s="4"/>
      <c r="B255" s="17"/>
      <c r="C255" s="17"/>
      <c r="D255" s="17"/>
      <c r="E255" s="17"/>
      <c r="F255" s="18"/>
      <c r="G255" s="329" t="s">
        <v>670</v>
      </c>
      <c r="H255" s="114"/>
      <c r="I255" s="60" t="s">
        <v>221</v>
      </c>
      <c r="J255" s="118"/>
      <c r="K255" s="119">
        <f>K256</f>
        <v>51000</v>
      </c>
      <c r="L255" s="119"/>
      <c r="M255" s="236">
        <f t="shared" ref="M255:O256" si="14">M256</f>
        <v>49000</v>
      </c>
      <c r="N255" s="119">
        <f t="shared" si="14"/>
        <v>0</v>
      </c>
      <c r="O255" s="251">
        <f t="shared" si="14"/>
        <v>61000</v>
      </c>
      <c r="P255" s="224"/>
      <c r="Q255" s="224"/>
    </row>
    <row r="256" spans="1:17" ht="46.8" x14ac:dyDescent="0.3">
      <c r="A256" s="4"/>
      <c r="B256" s="17"/>
      <c r="C256" s="17"/>
      <c r="D256" s="17"/>
      <c r="E256" s="17"/>
      <c r="F256" s="18"/>
      <c r="G256" s="330" t="s">
        <v>671</v>
      </c>
      <c r="H256" s="117"/>
      <c r="I256" s="47" t="s">
        <v>222</v>
      </c>
      <c r="J256" s="118"/>
      <c r="K256" s="119">
        <f>K257</f>
        <v>51000</v>
      </c>
      <c r="L256" s="119"/>
      <c r="M256" s="236">
        <f t="shared" si="14"/>
        <v>49000</v>
      </c>
      <c r="N256" s="119">
        <f t="shared" si="14"/>
        <v>0</v>
      </c>
      <c r="O256" s="218">
        <f t="shared" si="14"/>
        <v>61000</v>
      </c>
      <c r="P256" s="224"/>
      <c r="Q256" s="224"/>
    </row>
    <row r="257" spans="1:17" ht="31.2" x14ac:dyDescent="0.3">
      <c r="A257" s="4"/>
      <c r="B257" s="17"/>
      <c r="C257" s="17"/>
      <c r="D257" s="17"/>
      <c r="E257" s="17"/>
      <c r="F257" s="18"/>
      <c r="G257" s="134" t="s">
        <v>224</v>
      </c>
      <c r="H257" s="134"/>
      <c r="I257" s="64" t="s">
        <v>223</v>
      </c>
      <c r="J257" s="132"/>
      <c r="K257" s="133">
        <f>K258+K262</f>
        <v>51000</v>
      </c>
      <c r="L257" s="133"/>
      <c r="M257" s="240">
        <f>M258+M262</f>
        <v>49000</v>
      </c>
      <c r="N257" s="119">
        <f>N258+N262</f>
        <v>0</v>
      </c>
      <c r="O257" s="218">
        <f>O258+O262</f>
        <v>61000</v>
      </c>
      <c r="P257" s="224"/>
      <c r="Q257" s="224"/>
    </row>
    <row r="258" spans="1:17" ht="46.8" x14ac:dyDescent="0.3">
      <c r="A258" s="4"/>
      <c r="B258" s="17"/>
      <c r="C258" s="17"/>
      <c r="D258" s="17"/>
      <c r="E258" s="17"/>
      <c r="F258" s="18"/>
      <c r="G258" s="331" t="s">
        <v>672</v>
      </c>
      <c r="H258" s="131"/>
      <c r="I258" s="47" t="s">
        <v>225</v>
      </c>
      <c r="J258" s="132"/>
      <c r="K258" s="133">
        <f>K259+K261</f>
        <v>51000</v>
      </c>
      <c r="L258" s="133"/>
      <c r="M258" s="240">
        <f>M259+M261</f>
        <v>49000</v>
      </c>
      <c r="N258" s="119">
        <f>N259+N261</f>
        <v>0</v>
      </c>
      <c r="O258" s="218">
        <f>O259+O261</f>
        <v>61000</v>
      </c>
      <c r="P258" s="224"/>
      <c r="Q258" s="224"/>
    </row>
    <row r="259" spans="1:17" ht="31.2" x14ac:dyDescent="0.3">
      <c r="A259" s="4"/>
      <c r="B259" s="17"/>
      <c r="C259" s="17"/>
      <c r="D259" s="17"/>
      <c r="E259" s="17"/>
      <c r="F259" s="18"/>
      <c r="G259" s="117" t="s">
        <v>2</v>
      </c>
      <c r="H259" s="117"/>
      <c r="I259" s="118"/>
      <c r="J259" s="118">
        <v>200</v>
      </c>
      <c r="K259" s="119">
        <v>16000</v>
      </c>
      <c r="L259" s="119"/>
      <c r="M259" s="236">
        <v>14000</v>
      </c>
      <c r="N259" s="119"/>
      <c r="O259" s="218">
        <v>18000</v>
      </c>
      <c r="P259" s="224"/>
      <c r="Q259" s="224"/>
    </row>
    <row r="260" spans="1:17" ht="26.25" hidden="1" customHeight="1" x14ac:dyDescent="0.3">
      <c r="A260" s="4"/>
      <c r="B260" s="17"/>
      <c r="C260" s="17"/>
      <c r="D260" s="17"/>
      <c r="E260" s="17"/>
      <c r="F260" s="18"/>
      <c r="G260" s="117" t="s">
        <v>5</v>
      </c>
      <c r="H260" s="117"/>
      <c r="I260" s="118"/>
      <c r="J260" s="118">
        <v>300</v>
      </c>
      <c r="K260" s="119"/>
      <c r="L260" s="119"/>
      <c r="M260" s="236"/>
      <c r="N260" s="119"/>
      <c r="O260" s="218"/>
      <c r="P260" s="224"/>
      <c r="Q260" s="224"/>
    </row>
    <row r="261" spans="1:17" ht="31.2" x14ac:dyDescent="0.3">
      <c r="A261" s="4"/>
      <c r="B261" s="17"/>
      <c r="C261" s="17"/>
      <c r="D261" s="17"/>
      <c r="E261" s="17"/>
      <c r="F261" s="18"/>
      <c r="G261" s="117" t="s">
        <v>4</v>
      </c>
      <c r="H261" s="117"/>
      <c r="I261" s="118"/>
      <c r="J261" s="118">
        <v>600</v>
      </c>
      <c r="K261" s="119">
        <v>35000</v>
      </c>
      <c r="L261" s="119"/>
      <c r="M261" s="236">
        <v>35000</v>
      </c>
      <c r="N261" s="119"/>
      <c r="O261" s="49">
        <v>43000</v>
      </c>
      <c r="P261" s="224"/>
      <c r="Q261" s="224"/>
    </row>
    <row r="262" spans="1:17" ht="36.75" hidden="1" customHeight="1" x14ac:dyDescent="0.3">
      <c r="A262" s="4"/>
      <c r="B262" s="17"/>
      <c r="C262" s="17"/>
      <c r="D262" s="17"/>
      <c r="E262" s="17"/>
      <c r="F262" s="18"/>
      <c r="G262" s="117" t="s">
        <v>92</v>
      </c>
      <c r="H262" s="117"/>
      <c r="I262" s="47" t="s">
        <v>226</v>
      </c>
      <c r="J262" s="118"/>
      <c r="K262" s="119">
        <f>K263</f>
        <v>0</v>
      </c>
      <c r="L262" s="119"/>
      <c r="M262" s="236">
        <f>M263</f>
        <v>0</v>
      </c>
      <c r="N262" s="119"/>
      <c r="O262" s="251"/>
      <c r="P262" s="224"/>
      <c r="Q262" s="224"/>
    </row>
    <row r="263" spans="1:17" ht="33" hidden="1" customHeight="1" x14ac:dyDescent="0.3">
      <c r="A263" s="4"/>
      <c r="B263" s="17"/>
      <c r="C263" s="17"/>
      <c r="D263" s="17"/>
      <c r="E263" s="17"/>
      <c r="F263" s="18"/>
      <c r="G263" s="117" t="s">
        <v>2</v>
      </c>
      <c r="H263" s="117"/>
      <c r="I263" s="118"/>
      <c r="J263" s="118">
        <v>200</v>
      </c>
      <c r="K263" s="119"/>
      <c r="L263" s="119"/>
      <c r="M263" s="236"/>
      <c r="N263" s="119"/>
      <c r="O263" s="251"/>
      <c r="P263" s="224"/>
      <c r="Q263" s="224"/>
    </row>
    <row r="264" spans="1:17" ht="78" x14ac:dyDescent="0.3">
      <c r="A264" s="4"/>
      <c r="B264" s="17"/>
      <c r="C264" s="17"/>
      <c r="D264" s="17"/>
      <c r="E264" s="17"/>
      <c r="F264" s="18"/>
      <c r="G264" s="332" t="s">
        <v>673</v>
      </c>
      <c r="H264" s="59"/>
      <c r="I264" s="60" t="s">
        <v>227</v>
      </c>
      <c r="J264" s="61" t="s">
        <v>0</v>
      </c>
      <c r="K264" s="62">
        <f>K265+K270</f>
        <v>243000</v>
      </c>
      <c r="L264" s="62"/>
      <c r="M264" s="237">
        <f>M265+M270</f>
        <v>220000</v>
      </c>
      <c r="N264" s="127">
        <f>N265+N270</f>
        <v>0</v>
      </c>
      <c r="O264" s="251">
        <f>O265+O270</f>
        <v>252000</v>
      </c>
      <c r="P264" s="224"/>
      <c r="Q264" s="224"/>
    </row>
    <row r="265" spans="1:17" ht="72.75" customHeight="1" x14ac:dyDescent="0.3">
      <c r="A265" s="4"/>
      <c r="B265" s="17"/>
      <c r="C265" s="17"/>
      <c r="D265" s="17"/>
      <c r="E265" s="17"/>
      <c r="F265" s="18"/>
      <c r="G265" s="14" t="s">
        <v>674</v>
      </c>
      <c r="H265" s="121"/>
      <c r="I265" s="47" t="s">
        <v>352</v>
      </c>
      <c r="J265" s="48" t="s">
        <v>0</v>
      </c>
      <c r="K265" s="49">
        <f>K266</f>
        <v>73000</v>
      </c>
      <c r="L265" s="49"/>
      <c r="M265" s="238">
        <f t="shared" ref="M265:O266" si="15">M266</f>
        <v>50000</v>
      </c>
      <c r="N265" s="49">
        <f t="shared" si="15"/>
        <v>0</v>
      </c>
      <c r="O265" s="218">
        <f t="shared" si="15"/>
        <v>252000</v>
      </c>
      <c r="P265" s="224"/>
      <c r="Q265" s="224"/>
    </row>
    <row r="266" spans="1:17" ht="46.8" x14ac:dyDescent="0.3">
      <c r="A266" s="4"/>
      <c r="B266" s="17"/>
      <c r="C266" s="17"/>
      <c r="D266" s="17"/>
      <c r="E266" s="17"/>
      <c r="F266" s="18"/>
      <c r="G266" s="63" t="s">
        <v>230</v>
      </c>
      <c r="H266" s="63"/>
      <c r="I266" s="64" t="s">
        <v>354</v>
      </c>
      <c r="J266" s="48"/>
      <c r="K266" s="49">
        <f>K267</f>
        <v>73000</v>
      </c>
      <c r="L266" s="49"/>
      <c r="M266" s="238">
        <f t="shared" si="15"/>
        <v>50000</v>
      </c>
      <c r="N266" s="49">
        <f t="shared" si="15"/>
        <v>0</v>
      </c>
      <c r="O266" s="218">
        <f>O267+O272</f>
        <v>252000</v>
      </c>
      <c r="P266" s="224"/>
      <c r="Q266" s="224"/>
    </row>
    <row r="267" spans="1:17" ht="67.5" customHeight="1" x14ac:dyDescent="0.3">
      <c r="A267" s="4"/>
      <c r="B267" s="17"/>
      <c r="C267" s="17"/>
      <c r="D267" s="17"/>
      <c r="E267" s="17"/>
      <c r="F267" s="18"/>
      <c r="G267" s="14" t="s">
        <v>675</v>
      </c>
      <c r="H267" s="51"/>
      <c r="I267" s="47" t="s">
        <v>355</v>
      </c>
      <c r="J267" s="48"/>
      <c r="K267" s="49">
        <f>K268+K269</f>
        <v>73000</v>
      </c>
      <c r="L267" s="49"/>
      <c r="M267" s="238">
        <f>M268+M269</f>
        <v>50000</v>
      </c>
      <c r="N267" s="49">
        <f>N268+N269</f>
        <v>0</v>
      </c>
      <c r="O267" s="218">
        <f>O268+O269</f>
        <v>82000</v>
      </c>
      <c r="P267" s="224"/>
      <c r="Q267" s="224"/>
    </row>
    <row r="268" spans="1:17" ht="39.75" hidden="1" customHeight="1" x14ac:dyDescent="0.3">
      <c r="A268" s="4"/>
      <c r="B268" s="17"/>
      <c r="C268" s="17"/>
      <c r="D268" s="17"/>
      <c r="E268" s="17"/>
      <c r="F268" s="18"/>
      <c r="G268" s="51" t="s">
        <v>2</v>
      </c>
      <c r="H268" s="51"/>
      <c r="I268" s="79"/>
      <c r="J268" s="48">
        <v>200</v>
      </c>
      <c r="K268" s="49">
        <v>0</v>
      </c>
      <c r="L268" s="49"/>
      <c r="M268" s="238">
        <v>0</v>
      </c>
      <c r="N268" s="49"/>
      <c r="O268" s="218"/>
      <c r="P268" s="224"/>
      <c r="Q268" s="224"/>
    </row>
    <row r="269" spans="1:17" ht="31.2" x14ac:dyDescent="0.3">
      <c r="A269" s="4"/>
      <c r="B269" s="17"/>
      <c r="C269" s="17"/>
      <c r="D269" s="17"/>
      <c r="E269" s="17"/>
      <c r="F269" s="18"/>
      <c r="G269" s="51" t="s">
        <v>4</v>
      </c>
      <c r="H269" s="51"/>
      <c r="I269" s="79"/>
      <c r="J269" s="48">
        <v>600</v>
      </c>
      <c r="K269" s="49">
        <v>73000</v>
      </c>
      <c r="L269" s="49"/>
      <c r="M269" s="238">
        <v>50000</v>
      </c>
      <c r="N269" s="49"/>
      <c r="O269" s="49">
        <f>52000+30000</f>
        <v>82000</v>
      </c>
      <c r="P269" s="224"/>
      <c r="Q269" s="224"/>
    </row>
    <row r="270" spans="1:17" ht="62.4" hidden="1" x14ac:dyDescent="0.3">
      <c r="A270" s="4"/>
      <c r="B270" s="17"/>
      <c r="C270" s="17"/>
      <c r="D270" s="17"/>
      <c r="E270" s="17"/>
      <c r="F270" s="18"/>
      <c r="G270" s="51" t="s">
        <v>531</v>
      </c>
      <c r="H270" s="121"/>
      <c r="I270" s="47" t="s">
        <v>232</v>
      </c>
      <c r="J270" s="48"/>
      <c r="K270" s="49">
        <f>K271</f>
        <v>170000</v>
      </c>
      <c r="L270" s="49"/>
      <c r="M270" s="238">
        <f>M271</f>
        <v>170000</v>
      </c>
      <c r="N270" s="49">
        <f>N271</f>
        <v>0</v>
      </c>
      <c r="O270" s="218"/>
      <c r="P270" s="224"/>
      <c r="Q270" s="224"/>
    </row>
    <row r="271" spans="1:17" ht="62.4" hidden="1" x14ac:dyDescent="0.3">
      <c r="A271" s="4"/>
      <c r="B271" s="17"/>
      <c r="C271" s="17"/>
      <c r="D271" s="17"/>
      <c r="E271" s="17"/>
      <c r="F271" s="18"/>
      <c r="G271" s="63" t="s">
        <v>451</v>
      </c>
      <c r="H271" s="63"/>
      <c r="I271" s="64" t="s">
        <v>233</v>
      </c>
      <c r="J271" s="48"/>
      <c r="K271" s="49">
        <f>K272+K274</f>
        <v>170000</v>
      </c>
      <c r="L271" s="49"/>
      <c r="M271" s="238">
        <f>M272+M274</f>
        <v>170000</v>
      </c>
      <c r="N271" s="49">
        <f>N272+N274</f>
        <v>0</v>
      </c>
      <c r="O271" s="218"/>
      <c r="P271" s="224"/>
      <c r="Q271" s="224"/>
    </row>
    <row r="272" spans="1:17" ht="46.8" x14ac:dyDescent="0.3">
      <c r="A272" s="4"/>
      <c r="B272" s="17"/>
      <c r="C272" s="17"/>
      <c r="D272" s="17"/>
      <c r="E272" s="17"/>
      <c r="F272" s="18"/>
      <c r="G272" s="51" t="s">
        <v>622</v>
      </c>
      <c r="H272" s="51"/>
      <c r="I272" s="47" t="s">
        <v>621</v>
      </c>
      <c r="J272" s="48"/>
      <c r="K272" s="49">
        <f>K273</f>
        <v>170000</v>
      </c>
      <c r="L272" s="49"/>
      <c r="M272" s="238">
        <f>M273</f>
        <v>170000</v>
      </c>
      <c r="N272" s="49">
        <f>N273</f>
        <v>0</v>
      </c>
      <c r="O272" s="218">
        <f>O273</f>
        <v>170000</v>
      </c>
      <c r="P272" s="224"/>
      <c r="Q272" s="224"/>
    </row>
    <row r="273" spans="1:17" ht="31.2" x14ac:dyDescent="0.3">
      <c r="A273" s="4"/>
      <c r="B273" s="17"/>
      <c r="C273" s="17"/>
      <c r="D273" s="17"/>
      <c r="E273" s="17"/>
      <c r="F273" s="18"/>
      <c r="G273" s="51" t="s">
        <v>4</v>
      </c>
      <c r="H273" s="51"/>
      <c r="I273" s="79"/>
      <c r="J273" s="48">
        <v>600</v>
      </c>
      <c r="K273" s="49">
        <v>170000</v>
      </c>
      <c r="L273" s="49"/>
      <c r="M273" s="238">
        <v>170000</v>
      </c>
      <c r="N273" s="49"/>
      <c r="O273" s="218">
        <v>170000</v>
      </c>
      <c r="P273" s="224"/>
      <c r="Q273" s="224"/>
    </row>
    <row r="274" spans="1:17" s="43" customFormat="1" ht="49.5" hidden="1" customHeight="1" x14ac:dyDescent="0.3">
      <c r="A274" s="40"/>
      <c r="B274" s="41"/>
      <c r="C274" s="41"/>
      <c r="D274" s="41"/>
      <c r="E274" s="41"/>
      <c r="F274" s="42"/>
      <c r="G274" s="51" t="s">
        <v>235</v>
      </c>
      <c r="H274" s="51"/>
      <c r="I274" s="47" t="s">
        <v>234</v>
      </c>
      <c r="J274" s="48"/>
      <c r="K274" s="49">
        <f>K275</f>
        <v>0</v>
      </c>
      <c r="L274" s="49"/>
      <c r="M274" s="238">
        <f>M275</f>
        <v>0</v>
      </c>
      <c r="N274" s="49"/>
      <c r="O274" s="251"/>
      <c r="P274" s="224"/>
      <c r="Q274" s="224"/>
    </row>
    <row r="275" spans="1:17" s="43" customFormat="1" ht="42.75" hidden="1" customHeight="1" x14ac:dyDescent="0.3">
      <c r="A275" s="40"/>
      <c r="B275" s="362" t="s">
        <v>40</v>
      </c>
      <c r="C275" s="362"/>
      <c r="D275" s="362"/>
      <c r="E275" s="362"/>
      <c r="F275" s="363"/>
      <c r="G275" s="51" t="s">
        <v>4</v>
      </c>
      <c r="H275" s="51"/>
      <c r="I275" s="47"/>
      <c r="J275" s="48">
        <v>600</v>
      </c>
      <c r="K275" s="49"/>
      <c r="L275" s="49"/>
      <c r="M275" s="238"/>
      <c r="N275" s="49"/>
      <c r="O275" s="251"/>
      <c r="P275" s="224"/>
      <c r="Q275" s="224"/>
    </row>
    <row r="276" spans="1:17" s="43" customFormat="1" ht="62.4" x14ac:dyDescent="0.3">
      <c r="A276" s="40"/>
      <c r="B276" s="164"/>
      <c r="C276" s="164"/>
      <c r="D276" s="164"/>
      <c r="E276" s="164"/>
      <c r="F276" s="165"/>
      <c r="G276" s="2" t="s">
        <v>676</v>
      </c>
      <c r="H276" s="51"/>
      <c r="I276" s="60" t="s">
        <v>420</v>
      </c>
      <c r="J276" s="48"/>
      <c r="K276" s="127">
        <f>K277</f>
        <v>51000</v>
      </c>
      <c r="L276" s="49"/>
      <c r="M276" s="239">
        <f t="shared" ref="M276:O279" si="16">M277</f>
        <v>51000</v>
      </c>
      <c r="N276" s="127">
        <f t="shared" si="16"/>
        <v>0</v>
      </c>
      <c r="O276" s="251">
        <f t="shared" si="16"/>
        <v>51000</v>
      </c>
      <c r="P276" s="224"/>
      <c r="Q276" s="224"/>
    </row>
    <row r="277" spans="1:17" s="43" customFormat="1" ht="78" x14ac:dyDescent="0.3">
      <c r="A277" s="40"/>
      <c r="B277" s="164"/>
      <c r="C277" s="164"/>
      <c r="D277" s="164"/>
      <c r="E277" s="164"/>
      <c r="F277" s="165"/>
      <c r="G277" s="14" t="s">
        <v>677</v>
      </c>
      <c r="H277" s="51"/>
      <c r="I277" s="47" t="s">
        <v>421</v>
      </c>
      <c r="J277" s="48"/>
      <c r="K277" s="49">
        <f>K278</f>
        <v>51000</v>
      </c>
      <c r="L277" s="49"/>
      <c r="M277" s="238">
        <f t="shared" si="16"/>
        <v>51000</v>
      </c>
      <c r="N277" s="49">
        <f t="shared" si="16"/>
        <v>0</v>
      </c>
      <c r="O277" s="218">
        <f t="shared" si="16"/>
        <v>51000</v>
      </c>
      <c r="P277" s="224"/>
      <c r="Q277" s="224"/>
    </row>
    <row r="278" spans="1:17" s="43" customFormat="1" ht="46.8" x14ac:dyDescent="0.3">
      <c r="A278" s="40"/>
      <c r="B278" s="164"/>
      <c r="C278" s="164"/>
      <c r="D278" s="164"/>
      <c r="E278" s="164"/>
      <c r="F278" s="165"/>
      <c r="G278" s="63" t="s">
        <v>450</v>
      </c>
      <c r="H278" s="51"/>
      <c r="I278" s="64" t="s">
        <v>422</v>
      </c>
      <c r="J278" s="48"/>
      <c r="K278" s="49">
        <f>K279</f>
        <v>51000</v>
      </c>
      <c r="L278" s="49"/>
      <c r="M278" s="238">
        <f t="shared" si="16"/>
        <v>51000</v>
      </c>
      <c r="N278" s="49">
        <f t="shared" si="16"/>
        <v>0</v>
      </c>
      <c r="O278" s="218">
        <f t="shared" si="16"/>
        <v>51000</v>
      </c>
      <c r="P278" s="224"/>
      <c r="Q278" s="224"/>
    </row>
    <row r="279" spans="1:17" s="43" customFormat="1" ht="78" x14ac:dyDescent="0.3">
      <c r="A279" s="40"/>
      <c r="B279" s="164"/>
      <c r="C279" s="164"/>
      <c r="D279" s="164"/>
      <c r="E279" s="164"/>
      <c r="F279" s="165"/>
      <c r="G279" s="14" t="s">
        <v>678</v>
      </c>
      <c r="H279" s="51"/>
      <c r="I279" s="47" t="s">
        <v>423</v>
      </c>
      <c r="J279" s="48"/>
      <c r="K279" s="49">
        <f>K280</f>
        <v>51000</v>
      </c>
      <c r="L279" s="49"/>
      <c r="M279" s="238">
        <f t="shared" si="16"/>
        <v>51000</v>
      </c>
      <c r="N279" s="49">
        <f t="shared" si="16"/>
        <v>0</v>
      </c>
      <c r="O279" s="218">
        <f t="shared" si="16"/>
        <v>51000</v>
      </c>
      <c r="P279" s="224"/>
      <c r="Q279" s="224"/>
    </row>
    <row r="280" spans="1:17" s="43" customFormat="1" ht="31.2" x14ac:dyDescent="0.3">
      <c r="A280" s="40"/>
      <c r="B280" s="164"/>
      <c r="C280" s="164"/>
      <c r="D280" s="164"/>
      <c r="E280" s="164"/>
      <c r="F280" s="165"/>
      <c r="G280" s="51" t="s">
        <v>4</v>
      </c>
      <c r="H280" s="51"/>
      <c r="I280" s="47"/>
      <c r="J280" s="48">
        <v>600</v>
      </c>
      <c r="K280" s="49">
        <v>51000</v>
      </c>
      <c r="L280" s="49"/>
      <c r="M280" s="238">
        <v>51000</v>
      </c>
      <c r="N280" s="49"/>
      <c r="O280" s="218">
        <v>51000</v>
      </c>
      <c r="P280" s="224"/>
      <c r="Q280" s="224"/>
    </row>
    <row r="281" spans="1:17" ht="51" hidden="1" customHeight="1" x14ac:dyDescent="0.3">
      <c r="A281" s="4"/>
      <c r="B281" s="19"/>
      <c r="C281" s="19"/>
      <c r="D281" s="19"/>
      <c r="E281" s="19"/>
      <c r="F281" s="20"/>
      <c r="G281" s="121" t="s">
        <v>402</v>
      </c>
      <c r="H281" s="112"/>
      <c r="I281" s="60" t="s">
        <v>238</v>
      </c>
      <c r="J281" s="112"/>
      <c r="K281" s="113">
        <f>K282+K288</f>
        <v>34000</v>
      </c>
      <c r="L281" s="185"/>
      <c r="M281" s="234">
        <f>M282+M288</f>
        <v>34000</v>
      </c>
      <c r="N281" s="113"/>
      <c r="O281" s="251"/>
      <c r="P281" s="224"/>
      <c r="Q281" s="224"/>
    </row>
    <row r="282" spans="1:17" ht="63.75" hidden="1" customHeight="1" x14ac:dyDescent="0.3">
      <c r="A282" s="4"/>
      <c r="B282" s="19"/>
      <c r="C282" s="19"/>
      <c r="D282" s="19"/>
      <c r="E282" s="19"/>
      <c r="F282" s="20"/>
      <c r="G282" s="51" t="s">
        <v>403</v>
      </c>
      <c r="H282" s="51"/>
      <c r="I282" s="47" t="s">
        <v>250</v>
      </c>
      <c r="J282" s="124"/>
      <c r="K282" s="49">
        <f>K283</f>
        <v>0</v>
      </c>
      <c r="L282" s="174"/>
      <c r="M282" s="238">
        <f>M283</f>
        <v>0</v>
      </c>
      <c r="N282" s="49"/>
      <c r="O282" s="251"/>
      <c r="P282" s="224"/>
      <c r="Q282" s="224"/>
    </row>
    <row r="283" spans="1:17" ht="51" hidden="1" customHeight="1" x14ac:dyDescent="0.3">
      <c r="A283" s="4"/>
      <c r="B283" s="360" t="s">
        <v>39</v>
      </c>
      <c r="C283" s="360"/>
      <c r="D283" s="360"/>
      <c r="E283" s="360"/>
      <c r="F283" s="361"/>
      <c r="G283" s="63" t="s">
        <v>253</v>
      </c>
      <c r="H283" s="51"/>
      <c r="I283" s="64" t="s">
        <v>251</v>
      </c>
      <c r="J283" s="124"/>
      <c r="K283" s="49">
        <f>K284</f>
        <v>0</v>
      </c>
      <c r="L283" s="174"/>
      <c r="M283" s="238">
        <f>M284</f>
        <v>0</v>
      </c>
      <c r="N283" s="49"/>
      <c r="O283" s="252"/>
      <c r="P283" s="224"/>
      <c r="Q283" s="224"/>
    </row>
    <row r="284" spans="1:17" ht="77.25" hidden="1" customHeight="1" x14ac:dyDescent="0.3">
      <c r="A284" s="4"/>
      <c r="B284" s="12"/>
      <c r="C284" s="12"/>
      <c r="D284" s="12"/>
      <c r="E284" s="12"/>
      <c r="F284" s="13"/>
      <c r="G284" s="51" t="s">
        <v>401</v>
      </c>
      <c r="H284" s="51"/>
      <c r="I284" s="47" t="s">
        <v>252</v>
      </c>
      <c r="J284" s="124"/>
      <c r="K284" s="49">
        <f>K285+K286</f>
        <v>0</v>
      </c>
      <c r="L284" s="174"/>
      <c r="M284" s="238">
        <f>M285+M286</f>
        <v>0</v>
      </c>
      <c r="N284" s="49"/>
      <c r="O284" s="252"/>
      <c r="P284" s="224"/>
      <c r="Q284" s="224"/>
    </row>
    <row r="285" spans="1:17" ht="37.5" hidden="1" customHeight="1" x14ac:dyDescent="0.3">
      <c r="A285" s="4"/>
      <c r="B285" s="12"/>
      <c r="C285" s="12"/>
      <c r="D285" s="12"/>
      <c r="E285" s="12"/>
      <c r="F285" s="13"/>
      <c r="G285" s="51" t="s">
        <v>2</v>
      </c>
      <c r="H285" s="51"/>
      <c r="I285" s="64"/>
      <c r="J285" s="48">
        <v>200</v>
      </c>
      <c r="K285" s="49">
        <v>0</v>
      </c>
      <c r="L285" s="49"/>
      <c r="M285" s="238">
        <v>0</v>
      </c>
      <c r="N285" s="49"/>
      <c r="O285" s="252"/>
      <c r="P285" s="224"/>
      <c r="Q285" s="224"/>
    </row>
    <row r="286" spans="1:17" ht="42.75" hidden="1" customHeight="1" x14ac:dyDescent="0.3">
      <c r="A286" s="4"/>
      <c r="B286" s="12"/>
      <c r="C286" s="12"/>
      <c r="D286" s="12"/>
      <c r="E286" s="12"/>
      <c r="F286" s="13"/>
      <c r="G286" s="51" t="s">
        <v>4</v>
      </c>
      <c r="H286" s="51"/>
      <c r="I286" s="64"/>
      <c r="J286" s="48">
        <v>600</v>
      </c>
      <c r="K286" s="49"/>
      <c r="L286" s="49"/>
      <c r="M286" s="238"/>
      <c r="N286" s="49"/>
      <c r="O286" s="252"/>
      <c r="P286" s="224"/>
      <c r="Q286" s="224"/>
    </row>
    <row r="287" spans="1:17" ht="31.2" x14ac:dyDescent="0.3">
      <c r="A287" s="4"/>
      <c r="B287" s="12"/>
      <c r="C287" s="12"/>
      <c r="D287" s="12"/>
      <c r="E287" s="12"/>
      <c r="F287" s="13"/>
      <c r="G287" s="2" t="s">
        <v>681</v>
      </c>
      <c r="H287" s="51"/>
      <c r="I287" s="60" t="s">
        <v>424</v>
      </c>
      <c r="J287" s="48"/>
      <c r="K287" s="49">
        <f>K288</f>
        <v>34000</v>
      </c>
      <c r="L287" s="49"/>
      <c r="M287" s="238">
        <f>M288</f>
        <v>34000</v>
      </c>
      <c r="N287" s="49">
        <f>N288</f>
        <v>0</v>
      </c>
      <c r="O287" s="251">
        <f>O288</f>
        <v>34000</v>
      </c>
      <c r="P287" s="224"/>
      <c r="Q287" s="224"/>
    </row>
    <row r="288" spans="1:17" ht="46.8" x14ac:dyDescent="0.3">
      <c r="A288" s="4"/>
      <c r="B288" s="12"/>
      <c r="C288" s="12"/>
      <c r="D288" s="12"/>
      <c r="E288" s="12"/>
      <c r="F288" s="13"/>
      <c r="G288" s="14" t="s">
        <v>682</v>
      </c>
      <c r="H288" s="121"/>
      <c r="I288" s="47" t="s">
        <v>425</v>
      </c>
      <c r="J288" s="122" t="s">
        <v>0</v>
      </c>
      <c r="K288" s="49">
        <f>K290</f>
        <v>34000</v>
      </c>
      <c r="L288" s="127"/>
      <c r="M288" s="238">
        <f>M290</f>
        <v>34000</v>
      </c>
      <c r="N288" s="49">
        <f>N290</f>
        <v>0</v>
      </c>
      <c r="O288" s="218">
        <f>O290</f>
        <v>34000</v>
      </c>
      <c r="P288" s="224"/>
      <c r="Q288" s="224"/>
    </row>
    <row r="289" spans="1:17" ht="46.8" x14ac:dyDescent="0.3">
      <c r="A289" s="4"/>
      <c r="B289" s="12"/>
      <c r="C289" s="12"/>
      <c r="D289" s="12"/>
      <c r="E289" s="12"/>
      <c r="F289" s="13"/>
      <c r="G289" s="63" t="s">
        <v>256</v>
      </c>
      <c r="H289" s="63"/>
      <c r="I289" s="64" t="s">
        <v>426</v>
      </c>
      <c r="J289" s="122"/>
      <c r="K289" s="49">
        <f>K290</f>
        <v>34000</v>
      </c>
      <c r="L289" s="127"/>
      <c r="M289" s="238">
        <f>M290</f>
        <v>34000</v>
      </c>
      <c r="N289" s="49">
        <f>N290</f>
        <v>0</v>
      </c>
      <c r="O289" s="218">
        <f>O290</f>
        <v>34000</v>
      </c>
      <c r="P289" s="224"/>
      <c r="Q289" s="224"/>
    </row>
    <row r="290" spans="1:17" ht="46.8" x14ac:dyDescent="0.3">
      <c r="A290" s="4"/>
      <c r="B290" s="392" t="s">
        <v>38</v>
      </c>
      <c r="C290" s="392"/>
      <c r="D290" s="392"/>
      <c r="E290" s="392"/>
      <c r="F290" s="393"/>
      <c r="G290" s="14" t="s">
        <v>683</v>
      </c>
      <c r="H290" s="51"/>
      <c r="I290" s="47" t="s">
        <v>427</v>
      </c>
      <c r="J290" s="48"/>
      <c r="K290" s="49">
        <f>K291+K292</f>
        <v>34000</v>
      </c>
      <c r="L290" s="49"/>
      <c r="M290" s="238">
        <f>M291+M292</f>
        <v>34000</v>
      </c>
      <c r="N290" s="49">
        <f>N291+N292</f>
        <v>0</v>
      </c>
      <c r="O290" s="218">
        <f>O291+O292</f>
        <v>34000</v>
      </c>
      <c r="P290" s="224"/>
      <c r="Q290" s="224"/>
    </row>
    <row r="291" spans="1:17" ht="45" hidden="1" customHeight="1" x14ac:dyDescent="0.3">
      <c r="A291" s="4"/>
      <c r="B291" s="360" t="s">
        <v>37</v>
      </c>
      <c r="C291" s="360"/>
      <c r="D291" s="360"/>
      <c r="E291" s="360"/>
      <c r="F291" s="361"/>
      <c r="G291" s="51" t="s">
        <v>2</v>
      </c>
      <c r="H291" s="51"/>
      <c r="I291" s="52"/>
      <c r="J291" s="48">
        <v>200</v>
      </c>
      <c r="K291" s="49">
        <v>0</v>
      </c>
      <c r="L291" s="49"/>
      <c r="M291" s="238">
        <v>0</v>
      </c>
      <c r="N291" s="49"/>
      <c r="O291" s="218"/>
      <c r="P291" s="224"/>
      <c r="Q291" s="224"/>
    </row>
    <row r="292" spans="1:17" ht="31.2" x14ac:dyDescent="0.3">
      <c r="A292" s="4"/>
      <c r="B292" s="12"/>
      <c r="C292" s="12"/>
      <c r="D292" s="12"/>
      <c r="E292" s="12"/>
      <c r="F292" s="13"/>
      <c r="G292" s="51" t="s">
        <v>4</v>
      </c>
      <c r="H292" s="51"/>
      <c r="I292" s="52"/>
      <c r="J292" s="48">
        <v>600</v>
      </c>
      <c r="K292" s="49">
        <v>34000</v>
      </c>
      <c r="L292" s="49"/>
      <c r="M292" s="238">
        <v>34000</v>
      </c>
      <c r="N292" s="49"/>
      <c r="O292" s="218">
        <v>34000</v>
      </c>
      <c r="P292" s="224"/>
      <c r="Q292" s="224"/>
    </row>
    <row r="293" spans="1:17" x14ac:dyDescent="0.3">
      <c r="A293" s="4"/>
      <c r="B293" s="367" t="s">
        <v>36</v>
      </c>
      <c r="C293" s="367"/>
      <c r="D293" s="367"/>
      <c r="E293" s="367"/>
      <c r="F293" s="368"/>
      <c r="G293" s="121" t="s">
        <v>8</v>
      </c>
      <c r="H293" s="51"/>
      <c r="I293" s="60" t="s">
        <v>302</v>
      </c>
      <c r="J293" s="48"/>
      <c r="K293" s="49">
        <f>K294+K298</f>
        <v>2820753</v>
      </c>
      <c r="L293" s="49"/>
      <c r="M293" s="238">
        <f>M294+M298</f>
        <v>2820653</v>
      </c>
      <c r="N293" s="49">
        <f>N294+N298</f>
        <v>0</v>
      </c>
      <c r="O293" s="251">
        <f>O294+O298</f>
        <v>3184877</v>
      </c>
      <c r="P293" s="224"/>
      <c r="Q293" s="224"/>
    </row>
    <row r="294" spans="1:17" ht="31.2" x14ac:dyDescent="0.3">
      <c r="A294" s="4"/>
      <c r="B294" s="367">
        <v>200</v>
      </c>
      <c r="C294" s="367"/>
      <c r="D294" s="367"/>
      <c r="E294" s="367"/>
      <c r="F294" s="368"/>
      <c r="G294" s="51" t="s">
        <v>79</v>
      </c>
      <c r="H294" s="51"/>
      <c r="I294" s="47" t="s">
        <v>311</v>
      </c>
      <c r="J294" s="48"/>
      <c r="K294" s="49">
        <f>K295+K296+K297</f>
        <v>2342000</v>
      </c>
      <c r="L294" s="49"/>
      <c r="M294" s="238">
        <f>M295+M296+M297</f>
        <v>2341900</v>
      </c>
      <c r="N294" s="49">
        <f>N295+N296+N297</f>
        <v>0</v>
      </c>
      <c r="O294" s="218">
        <f>O295+O296+O297</f>
        <v>2666100</v>
      </c>
      <c r="P294" s="224"/>
      <c r="Q294" s="224"/>
    </row>
    <row r="295" spans="1:17" ht="78" x14ac:dyDescent="0.3">
      <c r="A295" s="4"/>
      <c r="B295" s="392" t="s">
        <v>35</v>
      </c>
      <c r="C295" s="392"/>
      <c r="D295" s="392"/>
      <c r="E295" s="392"/>
      <c r="F295" s="393"/>
      <c r="G295" s="51" t="s">
        <v>3</v>
      </c>
      <c r="H295" s="51"/>
      <c r="I295" s="47"/>
      <c r="J295" s="48">
        <v>100</v>
      </c>
      <c r="K295" s="49">
        <v>2301500</v>
      </c>
      <c r="L295" s="49"/>
      <c r="M295" s="238">
        <v>2301400</v>
      </c>
      <c r="N295" s="49"/>
      <c r="O295" s="271">
        <f>2630000-96165</f>
        <v>2533835</v>
      </c>
      <c r="P295" s="224"/>
      <c r="Q295" s="224"/>
    </row>
    <row r="296" spans="1:17" ht="31.2" x14ac:dyDescent="0.3">
      <c r="A296" s="4"/>
      <c r="B296" s="19"/>
      <c r="C296" s="19"/>
      <c r="D296" s="19"/>
      <c r="E296" s="19"/>
      <c r="F296" s="20"/>
      <c r="G296" s="51" t="s">
        <v>2</v>
      </c>
      <c r="H296" s="51"/>
      <c r="I296" s="47"/>
      <c r="J296" s="48">
        <v>200</v>
      </c>
      <c r="K296" s="49">
        <v>40500</v>
      </c>
      <c r="L296" s="49"/>
      <c r="M296" s="238">
        <v>40000</v>
      </c>
      <c r="N296" s="49"/>
      <c r="O296" s="271">
        <v>36100</v>
      </c>
      <c r="P296" s="224"/>
      <c r="Q296" s="224"/>
    </row>
    <row r="297" spans="1:17" x14ac:dyDescent="0.3">
      <c r="A297" s="4"/>
      <c r="B297" s="19"/>
      <c r="C297" s="19"/>
      <c r="D297" s="19"/>
      <c r="E297" s="19"/>
      <c r="F297" s="20"/>
      <c r="G297" s="51" t="s">
        <v>5</v>
      </c>
      <c r="H297" s="51"/>
      <c r="I297" s="47"/>
      <c r="J297" s="48">
        <v>300</v>
      </c>
      <c r="K297" s="49"/>
      <c r="L297" s="49"/>
      <c r="M297" s="238">
        <v>500</v>
      </c>
      <c r="N297" s="49"/>
      <c r="O297" s="218">
        <v>96165</v>
      </c>
      <c r="P297" s="224"/>
      <c r="Q297" s="224"/>
    </row>
    <row r="298" spans="1:17" s="43" customFormat="1" ht="31.2" x14ac:dyDescent="0.3">
      <c r="A298" s="40"/>
      <c r="B298" s="82"/>
      <c r="C298" s="82"/>
      <c r="D298" s="82"/>
      <c r="E298" s="82"/>
      <c r="F298" s="83"/>
      <c r="G298" s="51" t="s">
        <v>74</v>
      </c>
      <c r="H298" s="51"/>
      <c r="I298" s="47" t="s">
        <v>314</v>
      </c>
      <c r="J298" s="48" t="s">
        <v>0</v>
      </c>
      <c r="K298" s="49">
        <f>K299+K300</f>
        <v>478753</v>
      </c>
      <c r="L298" s="49">
        <f>L299+L300</f>
        <v>0</v>
      </c>
      <c r="M298" s="238">
        <f>M299+M300</f>
        <v>478753</v>
      </c>
      <c r="N298" s="49">
        <f>N299+N300</f>
        <v>0</v>
      </c>
      <c r="O298" s="218">
        <f>O299+O300</f>
        <v>518777</v>
      </c>
      <c r="P298" s="224"/>
      <c r="Q298" s="224"/>
    </row>
    <row r="299" spans="1:17" s="43" customFormat="1" ht="78" x14ac:dyDescent="0.3">
      <c r="A299" s="40"/>
      <c r="B299" s="82"/>
      <c r="C299" s="82"/>
      <c r="D299" s="82"/>
      <c r="E299" s="82"/>
      <c r="F299" s="83"/>
      <c r="G299" s="51" t="s">
        <v>3</v>
      </c>
      <c r="H299" s="51"/>
      <c r="I299" s="47" t="s">
        <v>0</v>
      </c>
      <c r="J299" s="48">
        <v>100</v>
      </c>
      <c r="K299" s="49">
        <v>416245</v>
      </c>
      <c r="L299" s="49">
        <v>37039</v>
      </c>
      <c r="M299" s="238">
        <f>L299+K299</f>
        <v>453284</v>
      </c>
      <c r="N299" s="49"/>
      <c r="O299" s="271">
        <f>471884+18101</f>
        <v>489985</v>
      </c>
      <c r="P299" s="224"/>
      <c r="Q299" s="224"/>
    </row>
    <row r="300" spans="1:17" s="43" customFormat="1" ht="31.2" x14ac:dyDescent="0.3">
      <c r="A300" s="40"/>
      <c r="B300" s="376" t="s">
        <v>34</v>
      </c>
      <c r="C300" s="376"/>
      <c r="D300" s="376"/>
      <c r="E300" s="376"/>
      <c r="F300" s="377"/>
      <c r="G300" s="51" t="s">
        <v>2</v>
      </c>
      <c r="H300" s="51"/>
      <c r="I300" s="47"/>
      <c r="J300" s="48">
        <v>200</v>
      </c>
      <c r="K300" s="49">
        <v>62508</v>
      </c>
      <c r="L300" s="49">
        <v>-37039</v>
      </c>
      <c r="M300" s="238">
        <f>L300+K300</f>
        <v>25469</v>
      </c>
      <c r="N300" s="49"/>
      <c r="O300" s="271">
        <v>28792</v>
      </c>
      <c r="P300" s="224"/>
      <c r="Q300" s="224"/>
    </row>
    <row r="301" spans="1:17" ht="31.2" x14ac:dyDescent="0.3">
      <c r="A301" s="4"/>
      <c r="B301" s="367">
        <v>600</v>
      </c>
      <c r="C301" s="367"/>
      <c r="D301" s="367"/>
      <c r="E301" s="367"/>
      <c r="F301" s="368"/>
      <c r="G301" s="121" t="s">
        <v>383</v>
      </c>
      <c r="H301" s="126">
        <v>805</v>
      </c>
      <c r="I301" s="47"/>
      <c r="J301" s="48"/>
      <c r="K301" s="127">
        <f>K307+K316+K302</f>
        <v>16402511</v>
      </c>
      <c r="L301" s="127">
        <f>L307+L316+L302</f>
        <v>0</v>
      </c>
      <c r="M301" s="239">
        <f>M307+M316+M302</f>
        <v>16545511</v>
      </c>
      <c r="N301" s="127">
        <f>N307+N316+N302</f>
        <v>0</v>
      </c>
      <c r="O301" s="251">
        <f>O307+O316+O302</f>
        <v>14429302</v>
      </c>
      <c r="P301" s="224"/>
      <c r="Q301" s="224"/>
    </row>
    <row r="302" spans="1:17" ht="46.8" hidden="1" x14ac:dyDescent="0.3">
      <c r="A302" s="4"/>
      <c r="B302" s="15"/>
      <c r="C302" s="15"/>
      <c r="D302" s="15"/>
      <c r="E302" s="15"/>
      <c r="F302" s="16"/>
      <c r="G302" s="157" t="s">
        <v>595</v>
      </c>
      <c r="H302" s="126"/>
      <c r="I302" s="60" t="s">
        <v>281</v>
      </c>
      <c r="J302" s="48"/>
      <c r="K302" s="127">
        <f t="shared" ref="K302:O305" si="17">K303</f>
        <v>2363511</v>
      </c>
      <c r="L302" s="127">
        <f t="shared" si="17"/>
        <v>0</v>
      </c>
      <c r="M302" s="239">
        <f t="shared" si="17"/>
        <v>2363511</v>
      </c>
      <c r="N302" s="127">
        <f t="shared" si="17"/>
        <v>0</v>
      </c>
      <c r="O302" s="251">
        <f t="shared" si="17"/>
        <v>0</v>
      </c>
      <c r="P302" s="224"/>
      <c r="Q302" s="224"/>
    </row>
    <row r="303" spans="1:17" ht="46.8" hidden="1" x14ac:dyDescent="0.3">
      <c r="A303" s="4"/>
      <c r="B303" s="15"/>
      <c r="C303" s="15"/>
      <c r="D303" s="15"/>
      <c r="E303" s="15"/>
      <c r="F303" s="16"/>
      <c r="G303" s="65" t="s">
        <v>596</v>
      </c>
      <c r="H303" s="126"/>
      <c r="I303" s="47" t="s">
        <v>282</v>
      </c>
      <c r="J303" s="48"/>
      <c r="K303" s="49">
        <f t="shared" si="17"/>
        <v>2363511</v>
      </c>
      <c r="L303" s="49">
        <f t="shared" si="17"/>
        <v>0</v>
      </c>
      <c r="M303" s="238">
        <f t="shared" si="17"/>
        <v>2363511</v>
      </c>
      <c r="N303" s="49">
        <f t="shared" si="17"/>
        <v>0</v>
      </c>
      <c r="O303" s="218">
        <f t="shared" si="17"/>
        <v>0</v>
      </c>
      <c r="P303" s="224"/>
      <c r="Q303" s="224"/>
    </row>
    <row r="304" spans="1:17" ht="31.2" hidden="1" x14ac:dyDescent="0.3">
      <c r="A304" s="4"/>
      <c r="B304" s="15"/>
      <c r="C304" s="15"/>
      <c r="D304" s="15"/>
      <c r="E304" s="15"/>
      <c r="F304" s="16"/>
      <c r="G304" s="120" t="s">
        <v>320</v>
      </c>
      <c r="H304" s="126"/>
      <c r="I304" s="64" t="s">
        <v>283</v>
      </c>
      <c r="J304" s="48"/>
      <c r="K304" s="49">
        <f t="shared" si="17"/>
        <v>2363511</v>
      </c>
      <c r="L304" s="49">
        <f t="shared" si="17"/>
        <v>0</v>
      </c>
      <c r="M304" s="238">
        <f t="shared" si="17"/>
        <v>2363511</v>
      </c>
      <c r="N304" s="49">
        <f t="shared" si="17"/>
        <v>0</v>
      </c>
      <c r="O304" s="218">
        <f t="shared" si="17"/>
        <v>0</v>
      </c>
      <c r="P304" s="224"/>
      <c r="Q304" s="224"/>
    </row>
    <row r="305" spans="1:17" ht="31.2" hidden="1" x14ac:dyDescent="0.3">
      <c r="A305" s="4"/>
      <c r="B305" s="15"/>
      <c r="C305" s="15"/>
      <c r="D305" s="15"/>
      <c r="E305" s="15"/>
      <c r="F305" s="16"/>
      <c r="G305" s="66" t="s">
        <v>460</v>
      </c>
      <c r="H305" s="126"/>
      <c r="I305" s="47" t="s">
        <v>459</v>
      </c>
      <c r="J305" s="48"/>
      <c r="K305" s="49">
        <f t="shared" si="17"/>
        <v>2363511</v>
      </c>
      <c r="L305" s="49">
        <f t="shared" si="17"/>
        <v>0</v>
      </c>
      <c r="M305" s="238">
        <f t="shared" si="17"/>
        <v>2363511</v>
      </c>
      <c r="N305" s="49">
        <f t="shared" si="17"/>
        <v>0</v>
      </c>
      <c r="O305" s="218">
        <f t="shared" si="17"/>
        <v>0</v>
      </c>
      <c r="P305" s="224"/>
      <c r="Q305" s="224"/>
    </row>
    <row r="306" spans="1:17" hidden="1" x14ac:dyDescent="0.3">
      <c r="A306" s="4"/>
      <c r="B306" s="15"/>
      <c r="C306" s="15"/>
      <c r="D306" s="15"/>
      <c r="E306" s="15"/>
      <c r="F306" s="16"/>
      <c r="G306" s="51" t="s">
        <v>6</v>
      </c>
      <c r="H306" s="126"/>
      <c r="I306" s="47"/>
      <c r="J306" s="48">
        <v>500</v>
      </c>
      <c r="K306" s="49">
        <v>2363511</v>
      </c>
      <c r="L306" s="49"/>
      <c r="M306" s="238">
        <f>K306+L306</f>
        <v>2363511</v>
      </c>
      <c r="N306" s="49"/>
      <c r="O306" s="251"/>
      <c r="P306" s="224"/>
      <c r="Q306" s="224"/>
    </row>
    <row r="307" spans="1:17" ht="56.4" customHeight="1" x14ac:dyDescent="0.3">
      <c r="A307" s="4"/>
      <c r="B307" s="353">
        <v>800</v>
      </c>
      <c r="C307" s="353"/>
      <c r="D307" s="353"/>
      <c r="E307" s="353"/>
      <c r="F307" s="354"/>
      <c r="G307" s="2" t="s">
        <v>689</v>
      </c>
      <c r="H307" s="121"/>
      <c r="I307" s="60" t="s">
        <v>298</v>
      </c>
      <c r="J307" s="122" t="s">
        <v>0</v>
      </c>
      <c r="K307" s="127">
        <f>K308</f>
        <v>6526000</v>
      </c>
      <c r="L307" s="127">
        <f>L308</f>
        <v>0</v>
      </c>
      <c r="M307" s="239">
        <f>M308</f>
        <v>7182000</v>
      </c>
      <c r="N307" s="127">
        <f>N308</f>
        <v>0</v>
      </c>
      <c r="O307" s="251">
        <f>O308+O312</f>
        <v>6560612</v>
      </c>
      <c r="P307" s="224"/>
      <c r="Q307" s="224"/>
    </row>
    <row r="308" spans="1:17" ht="46.8" x14ac:dyDescent="0.3">
      <c r="A308" s="4"/>
      <c r="B308" s="358" t="s">
        <v>32</v>
      </c>
      <c r="C308" s="358"/>
      <c r="D308" s="358"/>
      <c r="E308" s="358"/>
      <c r="F308" s="359"/>
      <c r="G308" s="14" t="s">
        <v>690</v>
      </c>
      <c r="H308" s="51"/>
      <c r="I308" s="47" t="s">
        <v>299</v>
      </c>
      <c r="J308" s="48" t="s">
        <v>0</v>
      </c>
      <c r="K308" s="49">
        <f>K309+K313</f>
        <v>6526000</v>
      </c>
      <c r="L308" s="49">
        <f>L309+L313</f>
        <v>0</v>
      </c>
      <c r="M308" s="238">
        <f>M309+M313</f>
        <v>7182000</v>
      </c>
      <c r="N308" s="49">
        <f>N309+N313</f>
        <v>0</v>
      </c>
      <c r="O308" s="218">
        <f>O309</f>
        <v>5528000</v>
      </c>
      <c r="P308" s="224"/>
      <c r="Q308" s="224"/>
    </row>
    <row r="309" spans="1:17" ht="31.2" x14ac:dyDescent="0.3">
      <c r="A309" s="4"/>
      <c r="B309" s="353">
        <v>300</v>
      </c>
      <c r="C309" s="353"/>
      <c r="D309" s="353"/>
      <c r="E309" s="353"/>
      <c r="F309" s="354"/>
      <c r="G309" s="63" t="s">
        <v>623</v>
      </c>
      <c r="H309" s="63"/>
      <c r="I309" s="64" t="s">
        <v>300</v>
      </c>
      <c r="J309" s="48"/>
      <c r="K309" s="49">
        <f>K310</f>
        <v>5676000</v>
      </c>
      <c r="L309" s="49"/>
      <c r="M309" s="238">
        <f t="shared" ref="M309:O310" si="18">M310</f>
        <v>6332000</v>
      </c>
      <c r="N309" s="49">
        <f t="shared" si="18"/>
        <v>0</v>
      </c>
      <c r="O309" s="218">
        <f t="shared" si="18"/>
        <v>5528000</v>
      </c>
      <c r="P309" s="224"/>
      <c r="Q309" s="224"/>
    </row>
    <row r="310" spans="1:17" ht="46.8" x14ac:dyDescent="0.3">
      <c r="A310" s="4"/>
      <c r="B310" s="358" t="s">
        <v>31</v>
      </c>
      <c r="C310" s="358"/>
      <c r="D310" s="358"/>
      <c r="E310" s="358"/>
      <c r="F310" s="359"/>
      <c r="G310" s="51" t="s">
        <v>532</v>
      </c>
      <c r="H310" s="51"/>
      <c r="I310" s="47" t="s">
        <v>301</v>
      </c>
      <c r="J310" s="48"/>
      <c r="K310" s="49">
        <f>K311</f>
        <v>5676000</v>
      </c>
      <c r="L310" s="49"/>
      <c r="M310" s="238">
        <f t="shared" si="18"/>
        <v>6332000</v>
      </c>
      <c r="N310" s="49">
        <f t="shared" si="18"/>
        <v>0</v>
      </c>
      <c r="O310" s="218">
        <f t="shared" si="18"/>
        <v>5528000</v>
      </c>
      <c r="P310" s="224"/>
      <c r="Q310" s="224"/>
    </row>
    <row r="311" spans="1:17" x14ac:dyDescent="0.3">
      <c r="A311" s="4"/>
      <c r="B311" s="17"/>
      <c r="C311" s="17"/>
      <c r="D311" s="17"/>
      <c r="E311" s="17"/>
      <c r="F311" s="18"/>
      <c r="G311" s="51" t="s">
        <v>6</v>
      </c>
      <c r="H311" s="51"/>
      <c r="I311" s="47"/>
      <c r="J311" s="48">
        <v>500</v>
      </c>
      <c r="K311" s="49">
        <v>5676000</v>
      </c>
      <c r="L311" s="49"/>
      <c r="M311" s="238">
        <v>6332000</v>
      </c>
      <c r="N311" s="49"/>
      <c r="O311" s="218">
        <v>5528000</v>
      </c>
      <c r="P311" s="224"/>
      <c r="Q311" s="224"/>
    </row>
    <row r="312" spans="1:17" ht="46.8" x14ac:dyDescent="0.3">
      <c r="A312" s="4"/>
      <c r="B312" s="292"/>
      <c r="C312" s="292"/>
      <c r="D312" s="292"/>
      <c r="E312" s="292"/>
      <c r="F312" s="293"/>
      <c r="G312" s="14" t="s">
        <v>691</v>
      </c>
      <c r="H312" s="51"/>
      <c r="I312" s="47" t="s">
        <v>624</v>
      </c>
      <c r="J312" s="48"/>
      <c r="K312" s="49"/>
      <c r="L312" s="49"/>
      <c r="M312" s="238"/>
      <c r="N312" s="49"/>
      <c r="O312" s="218">
        <f>O313</f>
        <v>1032612</v>
      </c>
      <c r="P312" s="224"/>
      <c r="Q312" s="224"/>
    </row>
    <row r="313" spans="1:17" ht="31.2" x14ac:dyDescent="0.3">
      <c r="A313" s="4"/>
      <c r="B313" s="17"/>
      <c r="C313" s="17"/>
      <c r="D313" s="17"/>
      <c r="E313" s="17"/>
      <c r="F313" s="18"/>
      <c r="G313" s="63" t="s">
        <v>627</v>
      </c>
      <c r="H313" s="51"/>
      <c r="I313" s="64" t="s">
        <v>625</v>
      </c>
      <c r="J313" s="48"/>
      <c r="K313" s="49">
        <f t="shared" ref="K313:O314" si="19">K314</f>
        <v>850000</v>
      </c>
      <c r="L313" s="49">
        <f t="shared" si="19"/>
        <v>0</v>
      </c>
      <c r="M313" s="238">
        <f t="shared" si="19"/>
        <v>850000</v>
      </c>
      <c r="N313" s="49">
        <f t="shared" si="19"/>
        <v>0</v>
      </c>
      <c r="O313" s="218">
        <f t="shared" si="19"/>
        <v>1032612</v>
      </c>
      <c r="P313" s="224"/>
      <c r="Q313" s="224"/>
    </row>
    <row r="314" spans="1:17" ht="65.099999999999994" customHeight="1" x14ac:dyDescent="0.3">
      <c r="A314" s="4"/>
      <c r="B314" s="17"/>
      <c r="C314" s="17"/>
      <c r="D314" s="17"/>
      <c r="E314" s="17"/>
      <c r="F314" s="18"/>
      <c r="G314" s="51" t="s">
        <v>347</v>
      </c>
      <c r="H314" s="51"/>
      <c r="I314" s="47" t="s">
        <v>626</v>
      </c>
      <c r="J314" s="48"/>
      <c r="K314" s="49">
        <f t="shared" si="19"/>
        <v>850000</v>
      </c>
      <c r="L314" s="49">
        <f t="shared" si="19"/>
        <v>0</v>
      </c>
      <c r="M314" s="238">
        <f t="shared" si="19"/>
        <v>850000</v>
      </c>
      <c r="N314" s="49">
        <f t="shared" si="19"/>
        <v>0</v>
      </c>
      <c r="O314" s="218">
        <f t="shared" si="19"/>
        <v>1032612</v>
      </c>
      <c r="P314" s="224"/>
      <c r="Q314" s="224"/>
    </row>
    <row r="315" spans="1:17" ht="31.2" x14ac:dyDescent="0.3">
      <c r="A315" s="4"/>
      <c r="B315" s="17"/>
      <c r="C315" s="17"/>
      <c r="D315" s="17"/>
      <c r="E315" s="17"/>
      <c r="F315" s="18"/>
      <c r="G315" s="51" t="s">
        <v>2</v>
      </c>
      <c r="H315" s="51"/>
      <c r="I315" s="47"/>
      <c r="J315" s="48">
        <v>200</v>
      </c>
      <c r="K315" s="49">
        <v>850000</v>
      </c>
      <c r="L315" s="49"/>
      <c r="M315" s="238">
        <f>K315+L315</f>
        <v>850000</v>
      </c>
      <c r="N315" s="49"/>
      <c r="O315" s="218">
        <v>1032612</v>
      </c>
      <c r="P315" s="224"/>
      <c r="Q315" s="224"/>
    </row>
    <row r="316" spans="1:17" x14ac:dyDescent="0.3">
      <c r="A316" s="4"/>
      <c r="B316" s="17"/>
      <c r="C316" s="17"/>
      <c r="D316" s="17"/>
      <c r="E316" s="17"/>
      <c r="F316" s="18"/>
      <c r="G316" s="121" t="s">
        <v>8</v>
      </c>
      <c r="H316" s="121"/>
      <c r="I316" s="60" t="s">
        <v>302</v>
      </c>
      <c r="J316" s="122" t="s">
        <v>0</v>
      </c>
      <c r="K316" s="127">
        <f>K317</f>
        <v>7513000</v>
      </c>
      <c r="L316" s="127"/>
      <c r="M316" s="239">
        <f>M317</f>
        <v>7000000</v>
      </c>
      <c r="N316" s="127">
        <f>N317</f>
        <v>0</v>
      </c>
      <c r="O316" s="251">
        <f>O317</f>
        <v>7868690</v>
      </c>
      <c r="P316" s="224"/>
      <c r="Q316" s="224"/>
    </row>
    <row r="317" spans="1:17" ht="31.2" x14ac:dyDescent="0.3">
      <c r="A317" s="4"/>
      <c r="B317" s="17"/>
      <c r="C317" s="17"/>
      <c r="D317" s="17"/>
      <c r="E317" s="17"/>
      <c r="F317" s="18"/>
      <c r="G317" s="51" t="s">
        <v>78</v>
      </c>
      <c r="H317" s="51"/>
      <c r="I317" s="47" t="s">
        <v>310</v>
      </c>
      <c r="J317" s="48"/>
      <c r="K317" s="49">
        <f>K318+K319</f>
        <v>7513000</v>
      </c>
      <c r="L317" s="49"/>
      <c r="M317" s="238">
        <f>M318+M319</f>
        <v>7000000</v>
      </c>
      <c r="N317" s="49">
        <f>N318+N319</f>
        <v>0</v>
      </c>
      <c r="O317" s="218">
        <f>O318+O319+O321</f>
        <v>7868690</v>
      </c>
      <c r="P317" s="224"/>
      <c r="Q317" s="224"/>
    </row>
    <row r="318" spans="1:17" ht="78" x14ac:dyDescent="0.3">
      <c r="A318" s="4"/>
      <c r="B318" s="367">
        <v>600</v>
      </c>
      <c r="C318" s="367"/>
      <c r="D318" s="367"/>
      <c r="E318" s="367"/>
      <c r="F318" s="368"/>
      <c r="G318" s="51" t="s">
        <v>3</v>
      </c>
      <c r="H318" s="51"/>
      <c r="I318" s="47"/>
      <c r="J318" s="48">
        <v>100</v>
      </c>
      <c r="K318" s="49">
        <v>7098000</v>
      </c>
      <c r="L318" s="49"/>
      <c r="M318" s="238">
        <v>6654400</v>
      </c>
      <c r="N318" s="49"/>
      <c r="O318" s="271">
        <f>7453690-104744</f>
        <v>7348946</v>
      </c>
      <c r="P318" s="224"/>
      <c r="Q318" s="224"/>
    </row>
    <row r="319" spans="1:17" ht="31.2" x14ac:dyDescent="0.3">
      <c r="A319" s="4"/>
      <c r="B319" s="353">
        <v>800</v>
      </c>
      <c r="C319" s="353"/>
      <c r="D319" s="353"/>
      <c r="E319" s="353"/>
      <c r="F319" s="354"/>
      <c r="G319" s="51" t="s">
        <v>2</v>
      </c>
      <c r="H319" s="51"/>
      <c r="I319" s="47"/>
      <c r="J319" s="48">
        <v>200</v>
      </c>
      <c r="K319" s="49">
        <v>415000</v>
      </c>
      <c r="L319" s="49"/>
      <c r="M319" s="238">
        <v>345600</v>
      </c>
      <c r="N319" s="49"/>
      <c r="O319" s="271">
        <v>415000</v>
      </c>
      <c r="P319" s="224"/>
      <c r="Q319" s="224"/>
    </row>
    <row r="320" spans="1:17" hidden="1" x14ac:dyDescent="0.3">
      <c r="A320" s="4"/>
      <c r="B320" s="358" t="s">
        <v>30</v>
      </c>
      <c r="C320" s="358"/>
      <c r="D320" s="358"/>
      <c r="E320" s="358"/>
      <c r="F320" s="359"/>
      <c r="G320" s="51" t="s">
        <v>1</v>
      </c>
      <c r="H320" s="51"/>
      <c r="I320" s="47"/>
      <c r="J320" s="48">
        <v>800</v>
      </c>
      <c r="K320" s="49"/>
      <c r="L320" s="49"/>
      <c r="M320" s="238"/>
      <c r="N320" s="49"/>
      <c r="O320" s="251"/>
      <c r="P320" s="224"/>
      <c r="Q320" s="224"/>
    </row>
    <row r="321" spans="1:17" x14ac:dyDescent="0.3">
      <c r="A321" s="4"/>
      <c r="B321" s="342"/>
      <c r="C321" s="342"/>
      <c r="D321" s="342"/>
      <c r="E321" s="342"/>
      <c r="F321" s="343"/>
      <c r="G321" s="51" t="s">
        <v>5</v>
      </c>
      <c r="H321" s="51"/>
      <c r="I321" s="47"/>
      <c r="J321" s="48">
        <v>300</v>
      </c>
      <c r="K321" s="49"/>
      <c r="L321" s="49"/>
      <c r="M321" s="238"/>
      <c r="N321" s="49"/>
      <c r="O321" s="218">
        <v>104744</v>
      </c>
      <c r="P321" s="224"/>
      <c r="Q321" s="224"/>
    </row>
    <row r="322" spans="1:17" ht="46.8" x14ac:dyDescent="0.3">
      <c r="A322" s="4"/>
      <c r="B322" s="17"/>
      <c r="C322" s="17"/>
      <c r="D322" s="17"/>
      <c r="E322" s="17"/>
      <c r="F322" s="18"/>
      <c r="G322" s="121" t="s">
        <v>559</v>
      </c>
      <c r="H322" s="126">
        <v>806</v>
      </c>
      <c r="I322" s="47"/>
      <c r="J322" s="48"/>
      <c r="K322" s="127">
        <f t="shared" ref="K322:O322" si="20">K323+K419+K428+K433</f>
        <v>174066544</v>
      </c>
      <c r="L322" s="127">
        <f t="shared" si="20"/>
        <v>480829</v>
      </c>
      <c r="M322" s="239">
        <f t="shared" si="20"/>
        <v>172838927</v>
      </c>
      <c r="N322" s="127">
        <f t="shared" si="20"/>
        <v>0</v>
      </c>
      <c r="O322" s="251">
        <f t="shared" si="20"/>
        <v>111294222</v>
      </c>
      <c r="P322" s="265"/>
      <c r="Q322" s="265"/>
    </row>
    <row r="323" spans="1:17" ht="46.8" x14ac:dyDescent="0.3">
      <c r="A323" s="4"/>
      <c r="B323" s="17"/>
      <c r="C323" s="17"/>
      <c r="D323" s="17"/>
      <c r="E323" s="17"/>
      <c r="F323" s="18"/>
      <c r="G323" s="2" t="s">
        <v>692</v>
      </c>
      <c r="H323" s="121"/>
      <c r="I323" s="60" t="s">
        <v>194</v>
      </c>
      <c r="J323" s="48" t="s">
        <v>0</v>
      </c>
      <c r="K323" s="127">
        <f>K324+K402+K410</f>
        <v>166790139</v>
      </c>
      <c r="L323" s="127">
        <f>L324+L402</f>
        <v>480829</v>
      </c>
      <c r="M323" s="239">
        <f>M324+M402</f>
        <v>166059927</v>
      </c>
      <c r="N323" s="127">
        <f>N324+N402+N410</f>
        <v>0</v>
      </c>
      <c r="O323" s="251">
        <f>O324+O402+O410+O414</f>
        <v>105674458</v>
      </c>
      <c r="P323" s="265"/>
      <c r="Q323" s="265"/>
    </row>
    <row r="324" spans="1:17" ht="62.4" x14ac:dyDescent="0.3">
      <c r="A324" s="4"/>
      <c r="B324" s="17"/>
      <c r="C324" s="17"/>
      <c r="D324" s="17"/>
      <c r="E324" s="17"/>
      <c r="F324" s="18"/>
      <c r="G324" s="2" t="s">
        <v>693</v>
      </c>
      <c r="H324" s="121"/>
      <c r="I324" s="47" t="s">
        <v>195</v>
      </c>
      <c r="J324" s="48"/>
      <c r="K324" s="49">
        <f t="shared" ref="K324:O324" si="21">K325+K381+K390+K399+K407</f>
        <v>166780139</v>
      </c>
      <c r="L324" s="49">
        <f t="shared" si="21"/>
        <v>480829</v>
      </c>
      <c r="M324" s="238">
        <f t="shared" si="21"/>
        <v>166059927</v>
      </c>
      <c r="N324" s="49">
        <f t="shared" si="21"/>
        <v>0</v>
      </c>
      <c r="O324" s="218">
        <f t="shared" si="21"/>
        <v>105624458</v>
      </c>
      <c r="P324" s="224"/>
      <c r="Q324" s="224"/>
    </row>
    <row r="325" spans="1:17" ht="66.599999999999994" customHeight="1" x14ac:dyDescent="0.3">
      <c r="A325" s="4"/>
      <c r="B325" s="17"/>
      <c r="C325" s="17"/>
      <c r="D325" s="17"/>
      <c r="E325" s="17"/>
      <c r="F325" s="18"/>
      <c r="G325" s="63" t="s">
        <v>466</v>
      </c>
      <c r="H325" s="63"/>
      <c r="I325" s="64" t="s">
        <v>196</v>
      </c>
      <c r="J325" s="48"/>
      <c r="K325" s="49">
        <f t="shared" ref="K325:N325" si="22">K326+K330+K333+K336+K339+K342+K347+K349+K351+K354+K362+K365+K368+K371+K373+K375+K377</f>
        <v>77203799</v>
      </c>
      <c r="L325" s="49">
        <f t="shared" si="22"/>
        <v>480829</v>
      </c>
      <c r="M325" s="238">
        <f t="shared" si="22"/>
        <v>83533417</v>
      </c>
      <c r="N325" s="49">
        <f t="shared" si="22"/>
        <v>0</v>
      </c>
      <c r="O325" s="218">
        <f>O326+O330+O333+O336+O339+O342+O347+O349+O351+O354+O362+O365+O368+O371+O373+O375+O377+O379</f>
        <v>26534546</v>
      </c>
      <c r="P325" s="224"/>
      <c r="Q325" s="224"/>
    </row>
    <row r="326" spans="1:17" s="87" customFormat="1" ht="62.4" hidden="1" x14ac:dyDescent="0.3">
      <c r="A326" s="84"/>
      <c r="B326" s="85"/>
      <c r="C326" s="85"/>
      <c r="D326" s="85"/>
      <c r="E326" s="85"/>
      <c r="F326" s="86"/>
      <c r="G326" s="135" t="s">
        <v>412</v>
      </c>
      <c r="H326" s="51"/>
      <c r="I326" s="47" t="s">
        <v>197</v>
      </c>
      <c r="J326" s="48"/>
      <c r="K326" s="49">
        <f>K328+K329</f>
        <v>62596</v>
      </c>
      <c r="L326" s="49">
        <f>L327+L329</f>
        <v>-10340</v>
      </c>
      <c r="M326" s="238">
        <f>M327+M329</f>
        <v>52256</v>
      </c>
      <c r="N326" s="49">
        <f>N328+N329</f>
        <v>0</v>
      </c>
      <c r="O326" s="218">
        <f>O328+O329</f>
        <v>0</v>
      </c>
      <c r="P326" s="224"/>
      <c r="Q326" s="224"/>
    </row>
    <row r="327" spans="1:17" s="87" customFormat="1" ht="45" hidden="1" customHeight="1" x14ac:dyDescent="0.3">
      <c r="A327" s="84"/>
      <c r="B327" s="85"/>
      <c r="C327" s="85"/>
      <c r="D327" s="85"/>
      <c r="E327" s="85"/>
      <c r="F327" s="86"/>
      <c r="G327" s="51" t="s">
        <v>2</v>
      </c>
      <c r="H327" s="136"/>
      <c r="I327" s="137"/>
      <c r="J327" s="48">
        <v>200</v>
      </c>
      <c r="K327" s="49">
        <v>0</v>
      </c>
      <c r="L327" s="49"/>
      <c r="M327" s="238">
        <v>0</v>
      </c>
      <c r="N327" s="49"/>
      <c r="O327" s="218"/>
      <c r="P327" s="224"/>
      <c r="Q327" s="224"/>
    </row>
    <row r="328" spans="1:17" s="87" customFormat="1" ht="36" hidden="1" customHeight="1" x14ac:dyDescent="0.3">
      <c r="A328" s="84"/>
      <c r="B328" s="204"/>
      <c r="C328" s="204"/>
      <c r="D328" s="204"/>
      <c r="E328" s="204"/>
      <c r="F328" s="205"/>
      <c r="G328" s="117" t="s">
        <v>2</v>
      </c>
      <c r="H328" s="136"/>
      <c r="I328" s="137"/>
      <c r="J328" s="48">
        <v>200</v>
      </c>
      <c r="K328" s="49"/>
      <c r="L328" s="49"/>
      <c r="M328" s="238"/>
      <c r="N328" s="49"/>
      <c r="O328" s="218"/>
      <c r="P328" s="224"/>
      <c r="Q328" s="224"/>
    </row>
    <row r="329" spans="1:17" s="87" customFormat="1" hidden="1" x14ac:dyDescent="0.3">
      <c r="A329" s="84"/>
      <c r="B329" s="85"/>
      <c r="C329" s="85"/>
      <c r="D329" s="85"/>
      <c r="E329" s="85"/>
      <c r="F329" s="86"/>
      <c r="G329" s="138" t="s">
        <v>5</v>
      </c>
      <c r="H329" s="136"/>
      <c r="I329" s="137"/>
      <c r="J329" s="48">
        <v>300</v>
      </c>
      <c r="K329" s="49">
        <v>62596</v>
      </c>
      <c r="L329" s="49">
        <v>-10340</v>
      </c>
      <c r="M329" s="238">
        <f>L329+K329</f>
        <v>52256</v>
      </c>
      <c r="N329" s="49"/>
      <c r="O329" s="218"/>
      <c r="P329" s="224"/>
      <c r="Q329" s="224"/>
    </row>
    <row r="330" spans="1:17" s="87" customFormat="1" ht="86.25" customHeight="1" x14ac:dyDescent="0.3">
      <c r="A330" s="84"/>
      <c r="B330" s="397" t="s">
        <v>29</v>
      </c>
      <c r="C330" s="397"/>
      <c r="D330" s="397"/>
      <c r="E330" s="397"/>
      <c r="F330" s="398"/>
      <c r="G330" s="128" t="s">
        <v>413</v>
      </c>
      <c r="H330" s="66"/>
      <c r="I330" s="47" t="s">
        <v>198</v>
      </c>
      <c r="J330" s="48" t="s">
        <v>0</v>
      </c>
      <c r="K330" s="49">
        <f>K331+K332</f>
        <v>1301001</v>
      </c>
      <c r="L330" s="49">
        <f>L331+L332</f>
        <v>0</v>
      </c>
      <c r="M330" s="238">
        <f>M331+M332</f>
        <v>1301001</v>
      </c>
      <c r="N330" s="49">
        <f>N331+N332</f>
        <v>0</v>
      </c>
      <c r="O330" s="218">
        <f>O331+O332</f>
        <v>1376861</v>
      </c>
      <c r="P330" s="224"/>
      <c r="Q330" s="224"/>
    </row>
    <row r="331" spans="1:17" s="87" customFormat="1" ht="31.2" x14ac:dyDescent="0.3">
      <c r="A331" s="84"/>
      <c r="B331" s="382">
        <v>500</v>
      </c>
      <c r="C331" s="382"/>
      <c r="D331" s="382"/>
      <c r="E331" s="382"/>
      <c r="F331" s="383"/>
      <c r="G331" s="117" t="s">
        <v>2</v>
      </c>
      <c r="H331" s="66"/>
      <c r="I331" s="47"/>
      <c r="J331" s="48">
        <v>200</v>
      </c>
      <c r="K331" s="49">
        <v>16696</v>
      </c>
      <c r="L331" s="49">
        <v>0</v>
      </c>
      <c r="M331" s="238">
        <f>K331+L331</f>
        <v>16696</v>
      </c>
      <c r="N331" s="49">
        <v>0</v>
      </c>
      <c r="O331" s="271">
        <f>20391-2934</f>
        <v>17457</v>
      </c>
      <c r="P331" s="224"/>
      <c r="Q331" s="224"/>
    </row>
    <row r="332" spans="1:17" s="87" customFormat="1" x14ac:dyDescent="0.3">
      <c r="A332" s="84"/>
      <c r="B332" s="85"/>
      <c r="C332" s="85"/>
      <c r="D332" s="85"/>
      <c r="E332" s="85"/>
      <c r="F332" s="86"/>
      <c r="G332" s="51" t="s">
        <v>5</v>
      </c>
      <c r="H332" s="51"/>
      <c r="I332" s="47" t="s">
        <v>0</v>
      </c>
      <c r="J332" s="48">
        <v>300</v>
      </c>
      <c r="K332" s="49">
        <v>1284305</v>
      </c>
      <c r="L332" s="49"/>
      <c r="M332" s="238">
        <f>K332+L332</f>
        <v>1284305</v>
      </c>
      <c r="N332" s="49"/>
      <c r="O332" s="271">
        <f>1359405-1</f>
        <v>1359404</v>
      </c>
      <c r="P332" s="224"/>
      <c r="Q332" s="224"/>
    </row>
    <row r="333" spans="1:17" s="87" customFormat="1" ht="31.2" x14ac:dyDescent="0.3">
      <c r="A333" s="84"/>
      <c r="B333" s="85"/>
      <c r="C333" s="85"/>
      <c r="D333" s="85"/>
      <c r="E333" s="85"/>
      <c r="F333" s="86"/>
      <c r="G333" s="51" t="s">
        <v>84</v>
      </c>
      <c r="H333" s="51"/>
      <c r="I333" s="47" t="s">
        <v>199</v>
      </c>
      <c r="J333" s="48" t="s">
        <v>0</v>
      </c>
      <c r="K333" s="49">
        <f>K335+K334</f>
        <v>7880000</v>
      </c>
      <c r="L333" s="49">
        <f>L335+L334</f>
        <v>0</v>
      </c>
      <c r="M333" s="238">
        <f>M335+M334</f>
        <v>7854362</v>
      </c>
      <c r="N333" s="49">
        <f>N335+N334</f>
        <v>0</v>
      </c>
      <c r="O333" s="218">
        <f>O335+O334</f>
        <v>1500000</v>
      </c>
      <c r="P333" s="224"/>
      <c r="Q333" s="224"/>
    </row>
    <row r="334" spans="1:17" s="87" customFormat="1" ht="31.2" x14ac:dyDescent="0.3">
      <c r="A334" s="84"/>
      <c r="B334" s="85"/>
      <c r="C334" s="85"/>
      <c r="D334" s="85"/>
      <c r="E334" s="85"/>
      <c r="F334" s="86"/>
      <c r="G334" s="51" t="s">
        <v>2</v>
      </c>
      <c r="H334" s="51"/>
      <c r="I334" s="47"/>
      <c r="J334" s="48">
        <v>200</v>
      </c>
      <c r="K334" s="49">
        <v>115638</v>
      </c>
      <c r="L334" s="49"/>
      <c r="M334" s="238">
        <v>90000</v>
      </c>
      <c r="N334" s="49"/>
      <c r="O334" s="218">
        <f>100000-76000</f>
        <v>24000</v>
      </c>
      <c r="P334" s="224"/>
      <c r="Q334" s="224"/>
    </row>
    <row r="335" spans="1:17" s="87" customFormat="1" x14ac:dyDescent="0.3">
      <c r="A335" s="84"/>
      <c r="B335" s="85"/>
      <c r="C335" s="85"/>
      <c r="D335" s="85"/>
      <c r="E335" s="85"/>
      <c r="F335" s="86"/>
      <c r="G335" s="51" t="s">
        <v>5</v>
      </c>
      <c r="H335" s="51"/>
      <c r="I335" s="47" t="s">
        <v>0</v>
      </c>
      <c r="J335" s="48">
        <v>300</v>
      </c>
      <c r="K335" s="49">
        <v>7764362</v>
      </c>
      <c r="L335" s="49"/>
      <c r="M335" s="238">
        <f>K335+L335</f>
        <v>7764362</v>
      </c>
      <c r="N335" s="49"/>
      <c r="O335" s="49">
        <f>6942809-5466809</f>
        <v>1476000</v>
      </c>
      <c r="P335" s="224"/>
      <c r="Q335" s="224"/>
    </row>
    <row r="336" spans="1:17" s="87" customFormat="1" ht="78" hidden="1" x14ac:dyDescent="0.3">
      <c r="A336" s="84"/>
      <c r="B336" s="85"/>
      <c r="C336" s="85"/>
      <c r="D336" s="85"/>
      <c r="E336" s="85"/>
      <c r="F336" s="86"/>
      <c r="G336" s="51" t="s">
        <v>85</v>
      </c>
      <c r="H336" s="51"/>
      <c r="I336" s="47" t="s">
        <v>200</v>
      </c>
      <c r="J336" s="48" t="s">
        <v>0</v>
      </c>
      <c r="K336" s="49">
        <f>K337+K338</f>
        <v>151334</v>
      </c>
      <c r="L336" s="49">
        <f>L337+L338</f>
        <v>0</v>
      </c>
      <c r="M336" s="238">
        <f>M337+M338</f>
        <v>171600</v>
      </c>
      <c r="N336" s="49">
        <f>N337+N338</f>
        <v>0</v>
      </c>
      <c r="O336" s="218">
        <f>O337+O338</f>
        <v>0</v>
      </c>
      <c r="P336" s="224"/>
      <c r="Q336" s="224"/>
    </row>
    <row r="337" spans="1:17" s="87" customFormat="1" ht="31.2" hidden="1" x14ac:dyDescent="0.3">
      <c r="A337" s="84"/>
      <c r="B337" s="160"/>
      <c r="C337" s="160"/>
      <c r="D337" s="160"/>
      <c r="E337" s="160"/>
      <c r="F337" s="161"/>
      <c r="G337" s="51" t="s">
        <v>2</v>
      </c>
      <c r="H337" s="51"/>
      <c r="I337" s="47"/>
      <c r="J337" s="48">
        <v>200</v>
      </c>
      <c r="K337" s="49"/>
      <c r="L337" s="49"/>
      <c r="M337" s="238">
        <v>2500</v>
      </c>
      <c r="N337" s="49"/>
      <c r="O337" s="218"/>
      <c r="P337" s="224"/>
      <c r="Q337" s="224"/>
    </row>
    <row r="338" spans="1:17" s="87" customFormat="1" hidden="1" x14ac:dyDescent="0.3">
      <c r="A338" s="84"/>
      <c r="B338" s="85"/>
      <c r="C338" s="85"/>
      <c r="D338" s="85"/>
      <c r="E338" s="85"/>
      <c r="F338" s="86"/>
      <c r="G338" s="51" t="s">
        <v>5</v>
      </c>
      <c r="H338" s="51"/>
      <c r="I338" s="47" t="s">
        <v>0</v>
      </c>
      <c r="J338" s="48">
        <v>300</v>
      </c>
      <c r="K338" s="49">
        <v>151334</v>
      </c>
      <c r="L338" s="49"/>
      <c r="M338" s="238">
        <v>169100</v>
      </c>
      <c r="N338" s="49"/>
      <c r="O338" s="218"/>
      <c r="P338" s="224"/>
      <c r="Q338" s="224"/>
    </row>
    <row r="339" spans="1:17" s="87" customFormat="1" ht="109.2" hidden="1" x14ac:dyDescent="0.3">
      <c r="A339" s="84"/>
      <c r="B339" s="85"/>
      <c r="C339" s="85"/>
      <c r="D339" s="85"/>
      <c r="E339" s="85"/>
      <c r="F339" s="86"/>
      <c r="G339" s="51" t="s">
        <v>537</v>
      </c>
      <c r="H339" s="51"/>
      <c r="I339" s="47" t="s">
        <v>538</v>
      </c>
      <c r="J339" s="48" t="s">
        <v>0</v>
      </c>
      <c r="K339" s="49">
        <f>K341+K340</f>
        <v>4255186</v>
      </c>
      <c r="L339" s="49">
        <f>L341+L340</f>
        <v>0</v>
      </c>
      <c r="M339" s="238">
        <f>M341+M340</f>
        <v>4642000</v>
      </c>
      <c r="N339" s="49">
        <f>N341+N340</f>
        <v>0</v>
      </c>
      <c r="O339" s="218">
        <f>O341+O340</f>
        <v>0</v>
      </c>
      <c r="P339" s="224"/>
      <c r="Q339" s="224"/>
    </row>
    <row r="340" spans="1:17" s="87" customFormat="1" ht="31.2" hidden="1" x14ac:dyDescent="0.3">
      <c r="A340" s="84"/>
      <c r="B340" s="397" t="s">
        <v>28</v>
      </c>
      <c r="C340" s="397"/>
      <c r="D340" s="397"/>
      <c r="E340" s="397"/>
      <c r="F340" s="398"/>
      <c r="G340" s="51" t="s">
        <v>2</v>
      </c>
      <c r="H340" s="51"/>
      <c r="I340" s="47"/>
      <c r="J340" s="48">
        <v>200</v>
      </c>
      <c r="K340" s="49">
        <v>63735</v>
      </c>
      <c r="L340" s="49"/>
      <c r="M340" s="238">
        <v>68600</v>
      </c>
      <c r="N340" s="49"/>
      <c r="O340" s="218"/>
      <c r="P340" s="224"/>
      <c r="Q340" s="224"/>
    </row>
    <row r="341" spans="1:17" s="87" customFormat="1" hidden="1" x14ac:dyDescent="0.3">
      <c r="A341" s="84"/>
      <c r="B341" s="85"/>
      <c r="C341" s="85"/>
      <c r="D341" s="85"/>
      <c r="E341" s="85"/>
      <c r="F341" s="86"/>
      <c r="G341" s="51" t="s">
        <v>5</v>
      </c>
      <c r="H341" s="51"/>
      <c r="I341" s="47" t="s">
        <v>0</v>
      </c>
      <c r="J341" s="48">
        <v>300</v>
      </c>
      <c r="K341" s="49">
        <v>4191451</v>
      </c>
      <c r="L341" s="49"/>
      <c r="M341" s="238">
        <v>4573400</v>
      </c>
      <c r="N341" s="49"/>
      <c r="O341" s="218"/>
      <c r="P341" s="224"/>
      <c r="Q341" s="224"/>
    </row>
    <row r="342" spans="1:17" s="87" customFormat="1" ht="31.2" x14ac:dyDescent="0.3">
      <c r="A342" s="84"/>
      <c r="B342" s="85"/>
      <c r="C342" s="85"/>
      <c r="D342" s="85"/>
      <c r="E342" s="85"/>
      <c r="F342" s="86"/>
      <c r="G342" s="51" t="s">
        <v>540</v>
      </c>
      <c r="H342" s="51"/>
      <c r="I342" s="47" t="s">
        <v>539</v>
      </c>
      <c r="J342" s="48" t="s">
        <v>0</v>
      </c>
      <c r="K342" s="49">
        <f>K344+K343</f>
        <v>23348760</v>
      </c>
      <c r="L342" s="49">
        <f>L344+L343</f>
        <v>0</v>
      </c>
      <c r="M342" s="238">
        <f>M344+M343</f>
        <v>23348760</v>
      </c>
      <c r="N342" s="49">
        <f>N344+N343</f>
        <v>0</v>
      </c>
      <c r="O342" s="218">
        <f>O344+O343</f>
        <v>9147143</v>
      </c>
      <c r="P342" s="224"/>
      <c r="Q342" s="224"/>
    </row>
    <row r="343" spans="1:17" s="87" customFormat="1" ht="43.5" hidden="1" customHeight="1" x14ac:dyDescent="0.3">
      <c r="A343" s="84"/>
      <c r="B343" s="85"/>
      <c r="C343" s="85"/>
      <c r="D343" s="85"/>
      <c r="E343" s="85"/>
      <c r="F343" s="86"/>
      <c r="G343" s="51" t="s">
        <v>2</v>
      </c>
      <c r="H343" s="51"/>
      <c r="I343" s="47"/>
      <c r="J343" s="48">
        <v>200</v>
      </c>
      <c r="K343" s="49"/>
      <c r="L343" s="49"/>
      <c r="M343" s="238">
        <f>K343+L343</f>
        <v>0</v>
      </c>
      <c r="N343" s="49"/>
      <c r="O343" s="218"/>
      <c r="P343" s="224"/>
      <c r="Q343" s="224"/>
    </row>
    <row r="344" spans="1:17" s="87" customFormat="1" ht="20.100000000000001" customHeight="1" x14ac:dyDescent="0.3">
      <c r="A344" s="84"/>
      <c r="B344" s="382">
        <v>600</v>
      </c>
      <c r="C344" s="382"/>
      <c r="D344" s="382"/>
      <c r="E344" s="382"/>
      <c r="F344" s="383"/>
      <c r="G344" s="51" t="s">
        <v>5</v>
      </c>
      <c r="H344" s="51"/>
      <c r="I344" s="47" t="s">
        <v>0</v>
      </c>
      <c r="J344" s="48">
        <v>300</v>
      </c>
      <c r="K344" s="49">
        <v>23348760</v>
      </c>
      <c r="L344" s="49"/>
      <c r="M344" s="238">
        <f>K344+L344</f>
        <v>23348760</v>
      </c>
      <c r="N344" s="49"/>
      <c r="O344" s="271">
        <f>17026992-5752290-2127559</f>
        <v>9147143</v>
      </c>
      <c r="P344" s="224"/>
      <c r="Q344" s="224"/>
    </row>
    <row r="345" spans="1:17" ht="48.6" hidden="1" customHeight="1" x14ac:dyDescent="0.3">
      <c r="A345" s="4"/>
      <c r="B345" s="17"/>
      <c r="C345" s="17"/>
      <c r="D345" s="17"/>
      <c r="E345" s="17"/>
      <c r="F345" s="18"/>
      <c r="G345" s="51" t="s">
        <v>373</v>
      </c>
      <c r="H345" s="51"/>
      <c r="I345" s="47" t="s">
        <v>390</v>
      </c>
      <c r="J345" s="48"/>
      <c r="K345" s="49">
        <f>K346</f>
        <v>0</v>
      </c>
      <c r="L345" s="49"/>
      <c r="M345" s="238">
        <f>M346</f>
        <v>0</v>
      </c>
      <c r="N345" s="49"/>
      <c r="O345" s="218"/>
      <c r="P345" s="224"/>
      <c r="Q345" s="224"/>
    </row>
    <row r="346" spans="1:17" ht="27.75" hidden="1" customHeight="1" x14ac:dyDescent="0.3">
      <c r="A346" s="4"/>
      <c r="B346" s="17"/>
      <c r="C346" s="17"/>
      <c r="D346" s="17"/>
      <c r="E346" s="17"/>
      <c r="F346" s="18"/>
      <c r="G346" s="51" t="s">
        <v>5</v>
      </c>
      <c r="H346" s="51"/>
      <c r="I346" s="47"/>
      <c r="J346" s="48">
        <v>300</v>
      </c>
      <c r="K346" s="49">
        <v>0</v>
      </c>
      <c r="L346" s="49"/>
      <c r="M346" s="238">
        <v>0</v>
      </c>
      <c r="N346" s="49"/>
      <c r="O346" s="218"/>
      <c r="P346" s="224"/>
      <c r="Q346" s="224"/>
    </row>
    <row r="347" spans="1:17" ht="31.2" x14ac:dyDescent="0.3">
      <c r="A347" s="4"/>
      <c r="B347" s="17"/>
      <c r="C347" s="17"/>
      <c r="D347" s="17"/>
      <c r="E347" s="17"/>
      <c r="F347" s="18"/>
      <c r="G347" s="51" t="s">
        <v>377</v>
      </c>
      <c r="H347" s="51"/>
      <c r="I347" s="47" t="s">
        <v>201</v>
      </c>
      <c r="J347" s="48"/>
      <c r="K347" s="49">
        <f>K348</f>
        <v>1195000</v>
      </c>
      <c r="L347" s="49">
        <f>L348</f>
        <v>0</v>
      </c>
      <c r="M347" s="238">
        <f>M348</f>
        <v>1195000</v>
      </c>
      <c r="N347" s="49">
        <f>N348</f>
        <v>0</v>
      </c>
      <c r="O347" s="218">
        <f>O348</f>
        <v>2327200</v>
      </c>
      <c r="P347" s="224"/>
      <c r="Q347" s="224"/>
    </row>
    <row r="348" spans="1:17" x14ac:dyDescent="0.3">
      <c r="A348" s="4"/>
      <c r="B348" s="17"/>
      <c r="C348" s="17"/>
      <c r="D348" s="17"/>
      <c r="E348" s="17"/>
      <c r="F348" s="18"/>
      <c r="G348" s="51" t="s">
        <v>5</v>
      </c>
      <c r="H348" s="51"/>
      <c r="I348" s="52"/>
      <c r="J348" s="48">
        <v>300</v>
      </c>
      <c r="K348" s="49">
        <v>1195000</v>
      </c>
      <c r="L348" s="49"/>
      <c r="M348" s="238">
        <v>1195000</v>
      </c>
      <c r="N348" s="49"/>
      <c r="O348" s="218">
        <f>1327200+1000000</f>
        <v>2327200</v>
      </c>
      <c r="P348" s="224"/>
      <c r="Q348" s="224"/>
    </row>
    <row r="349" spans="1:17" ht="31.2" x14ac:dyDescent="0.3">
      <c r="A349" s="4"/>
      <c r="B349" s="17"/>
      <c r="C349" s="17"/>
      <c r="D349" s="17"/>
      <c r="E349" s="17"/>
      <c r="F349" s="18"/>
      <c r="G349" s="51" t="s">
        <v>64</v>
      </c>
      <c r="H349" s="51"/>
      <c r="I349" s="47" t="s">
        <v>202</v>
      </c>
      <c r="J349" s="48"/>
      <c r="K349" s="49">
        <f>K350</f>
        <v>100000</v>
      </c>
      <c r="L349" s="49">
        <f>L350</f>
        <v>0</v>
      </c>
      <c r="M349" s="238">
        <f>M350</f>
        <v>95000</v>
      </c>
      <c r="N349" s="49">
        <f>N350</f>
        <v>0</v>
      </c>
      <c r="O349" s="218">
        <f>O350</f>
        <v>120000</v>
      </c>
      <c r="P349" s="224"/>
      <c r="Q349" s="224"/>
    </row>
    <row r="350" spans="1:17" x14ac:dyDescent="0.3">
      <c r="A350" s="4"/>
      <c r="B350" s="353">
        <v>800</v>
      </c>
      <c r="C350" s="353"/>
      <c r="D350" s="353"/>
      <c r="E350" s="353"/>
      <c r="F350" s="354"/>
      <c r="G350" s="51" t="s">
        <v>5</v>
      </c>
      <c r="H350" s="51"/>
      <c r="I350" s="123"/>
      <c r="J350" s="48">
        <v>300</v>
      </c>
      <c r="K350" s="49">
        <v>100000</v>
      </c>
      <c r="L350" s="49"/>
      <c r="M350" s="238">
        <v>95000</v>
      </c>
      <c r="N350" s="49"/>
      <c r="O350" s="218">
        <v>120000</v>
      </c>
      <c r="P350" s="224"/>
      <c r="Q350" s="224"/>
    </row>
    <row r="351" spans="1:17" s="87" customFormat="1" ht="31.2" x14ac:dyDescent="0.3">
      <c r="A351" s="84"/>
      <c r="B351" s="85"/>
      <c r="C351" s="85"/>
      <c r="D351" s="85"/>
      <c r="E351" s="85"/>
      <c r="F351" s="86"/>
      <c r="G351" s="51" t="s">
        <v>81</v>
      </c>
      <c r="H351" s="51"/>
      <c r="I351" s="47" t="s">
        <v>203</v>
      </c>
      <c r="J351" s="48" t="s">
        <v>0</v>
      </c>
      <c r="K351" s="49">
        <f>K353+K352</f>
        <v>5754000</v>
      </c>
      <c r="L351" s="49">
        <f>L353+L352</f>
        <v>0</v>
      </c>
      <c r="M351" s="238">
        <f>M353+M352</f>
        <v>7503000</v>
      </c>
      <c r="N351" s="49">
        <f>N353+N352</f>
        <v>0</v>
      </c>
      <c r="O351" s="218">
        <f>O353+O352</f>
        <v>2280000</v>
      </c>
      <c r="P351" s="224"/>
      <c r="Q351" s="224"/>
    </row>
    <row r="352" spans="1:17" s="87" customFormat="1" ht="31.2" x14ac:dyDescent="0.3">
      <c r="A352" s="84"/>
      <c r="B352" s="85"/>
      <c r="C352" s="85"/>
      <c r="D352" s="85"/>
      <c r="E352" s="85"/>
      <c r="F352" s="86"/>
      <c r="G352" s="51" t="s">
        <v>2</v>
      </c>
      <c r="H352" s="51"/>
      <c r="I352" s="47"/>
      <c r="J352" s="48">
        <v>200</v>
      </c>
      <c r="K352" s="49">
        <v>90000</v>
      </c>
      <c r="L352" s="49"/>
      <c r="M352" s="238">
        <v>124700</v>
      </c>
      <c r="N352" s="49"/>
      <c r="O352" s="218">
        <f>104000-69000</f>
        <v>35000</v>
      </c>
      <c r="P352" s="224"/>
      <c r="Q352" s="224"/>
    </row>
    <row r="353" spans="1:17" s="87" customFormat="1" x14ac:dyDescent="0.3">
      <c r="A353" s="84"/>
      <c r="B353" s="85"/>
      <c r="C353" s="85"/>
      <c r="D353" s="85"/>
      <c r="E353" s="85"/>
      <c r="F353" s="86"/>
      <c r="G353" s="51" t="s">
        <v>5</v>
      </c>
      <c r="H353" s="51"/>
      <c r="I353" s="47" t="s">
        <v>0</v>
      </c>
      <c r="J353" s="48">
        <v>300</v>
      </c>
      <c r="K353" s="49">
        <v>5664000</v>
      </c>
      <c r="L353" s="49"/>
      <c r="M353" s="238">
        <v>7378300</v>
      </c>
      <c r="N353" s="49"/>
      <c r="O353" s="271">
        <f>7967550-5722550</f>
        <v>2245000</v>
      </c>
      <c r="P353" s="224"/>
      <c r="Q353" s="224"/>
    </row>
    <row r="354" spans="1:17" s="87" customFormat="1" ht="46.8" x14ac:dyDescent="0.3">
      <c r="A354" s="84"/>
      <c r="B354" s="394" t="s">
        <v>27</v>
      </c>
      <c r="C354" s="395"/>
      <c r="D354" s="395"/>
      <c r="E354" s="395"/>
      <c r="F354" s="396"/>
      <c r="G354" s="51" t="s">
        <v>86</v>
      </c>
      <c r="H354" s="51"/>
      <c r="I354" s="47" t="s">
        <v>204</v>
      </c>
      <c r="J354" s="48" t="s">
        <v>0</v>
      </c>
      <c r="K354" s="49">
        <f>K356+K355</f>
        <v>7300000</v>
      </c>
      <c r="L354" s="49">
        <f>L356+L355</f>
        <v>0</v>
      </c>
      <c r="M354" s="238">
        <f>M356+M355</f>
        <v>7664800</v>
      </c>
      <c r="N354" s="49">
        <f>N356+N355</f>
        <v>0</v>
      </c>
      <c r="O354" s="218">
        <f>O356+O355</f>
        <v>1802703</v>
      </c>
      <c r="P354" s="224"/>
      <c r="Q354" s="224"/>
    </row>
    <row r="355" spans="1:17" s="87" customFormat="1" ht="31.2" x14ac:dyDescent="0.3">
      <c r="A355" s="84"/>
      <c r="B355" s="90"/>
      <c r="C355" s="90"/>
      <c r="D355" s="90"/>
      <c r="E355" s="90"/>
      <c r="F355" s="91"/>
      <c r="G355" s="51" t="s">
        <v>2</v>
      </c>
      <c r="H355" s="51"/>
      <c r="I355" s="47"/>
      <c r="J355" s="48">
        <v>200</v>
      </c>
      <c r="K355" s="49">
        <v>122000</v>
      </c>
      <c r="L355" s="49"/>
      <c r="M355" s="238">
        <v>124400</v>
      </c>
      <c r="N355" s="49"/>
      <c r="O355" s="218">
        <f>120000-88640</f>
        <v>31360</v>
      </c>
      <c r="P355" s="224"/>
      <c r="Q355" s="224"/>
    </row>
    <row r="356" spans="1:17" s="87" customFormat="1" x14ac:dyDescent="0.3">
      <c r="A356" s="84"/>
      <c r="B356" s="380" t="s">
        <v>26</v>
      </c>
      <c r="C356" s="380"/>
      <c r="D356" s="380"/>
      <c r="E356" s="380"/>
      <c r="F356" s="381"/>
      <c r="G356" s="51" t="s">
        <v>5</v>
      </c>
      <c r="H356" s="51"/>
      <c r="I356" s="47" t="s">
        <v>0</v>
      </c>
      <c r="J356" s="48">
        <v>300</v>
      </c>
      <c r="K356" s="49">
        <v>7178000</v>
      </c>
      <c r="L356" s="49"/>
      <c r="M356" s="238">
        <v>7540400</v>
      </c>
      <c r="N356" s="49"/>
      <c r="O356" s="271">
        <f>6852925-5081582</f>
        <v>1771343</v>
      </c>
      <c r="P356" s="224"/>
      <c r="Q356" s="224"/>
    </row>
    <row r="357" spans="1:17" s="87" customFormat="1" ht="51.6" hidden="1" customHeight="1" x14ac:dyDescent="0.3">
      <c r="A357" s="84"/>
      <c r="B357" s="388" t="s">
        <v>25</v>
      </c>
      <c r="C357" s="388"/>
      <c r="D357" s="388"/>
      <c r="E357" s="388"/>
      <c r="F357" s="389"/>
      <c r="N357" s="253"/>
      <c r="O357" s="218"/>
      <c r="P357" s="224"/>
      <c r="Q357" s="224"/>
    </row>
    <row r="358" spans="1:17" s="87" customFormat="1" ht="35.25" hidden="1" customHeight="1" x14ac:dyDescent="0.3">
      <c r="A358" s="84"/>
      <c r="B358" s="92"/>
      <c r="C358" s="92"/>
      <c r="D358" s="92"/>
      <c r="E358" s="92"/>
      <c r="F358" s="93"/>
      <c r="N358" s="253"/>
      <c r="O358" s="218"/>
      <c r="P358" s="224"/>
      <c r="Q358" s="224"/>
    </row>
    <row r="359" spans="1:17" s="87" customFormat="1" ht="18.600000000000001" hidden="1" customHeight="1" x14ac:dyDescent="0.3">
      <c r="A359" s="84"/>
      <c r="B359" s="92"/>
      <c r="C359" s="92"/>
      <c r="D359" s="92"/>
      <c r="E359" s="92"/>
      <c r="F359" s="93"/>
      <c r="N359" s="253"/>
      <c r="O359" s="218"/>
      <c r="P359" s="224"/>
      <c r="Q359" s="224"/>
    </row>
    <row r="360" spans="1:17" s="87" customFormat="1" ht="48.6" hidden="1" customHeight="1" x14ac:dyDescent="0.3">
      <c r="A360" s="84"/>
      <c r="B360" s="179"/>
      <c r="C360" s="179"/>
      <c r="D360" s="179"/>
      <c r="E360" s="179"/>
      <c r="F360" s="180"/>
      <c r="N360" s="253"/>
      <c r="O360" s="218"/>
      <c r="P360" s="224"/>
      <c r="Q360" s="224"/>
    </row>
    <row r="361" spans="1:17" s="87" customFormat="1" ht="21" hidden="1" customHeight="1" x14ac:dyDescent="0.3">
      <c r="A361" s="84"/>
      <c r="B361" s="179"/>
      <c r="C361" s="179"/>
      <c r="D361" s="179"/>
      <c r="E361" s="179"/>
      <c r="F361" s="180"/>
      <c r="N361" s="253"/>
      <c r="O361" s="218"/>
      <c r="P361" s="224"/>
      <c r="Q361" s="224"/>
    </row>
    <row r="362" spans="1:17" s="87" customFormat="1" ht="62.4" x14ac:dyDescent="0.3">
      <c r="A362" s="84"/>
      <c r="B362" s="92"/>
      <c r="C362" s="92"/>
      <c r="D362" s="92"/>
      <c r="E362" s="92"/>
      <c r="F362" s="93"/>
      <c r="G362" s="51" t="s">
        <v>87</v>
      </c>
      <c r="H362" s="51"/>
      <c r="I362" s="47" t="s">
        <v>205</v>
      </c>
      <c r="J362" s="48" t="s">
        <v>0</v>
      </c>
      <c r="K362" s="49">
        <f>K364+K363</f>
        <v>14374000</v>
      </c>
      <c r="L362" s="49">
        <f>L364+L363</f>
        <v>0</v>
      </c>
      <c r="M362" s="238">
        <f>M364+M363</f>
        <v>16223000</v>
      </c>
      <c r="N362" s="49">
        <f>N364+N363</f>
        <v>0</v>
      </c>
      <c r="O362" s="218">
        <f>O364+O363</f>
        <v>4616000</v>
      </c>
      <c r="P362" s="224"/>
      <c r="Q362" s="224"/>
    </row>
    <row r="363" spans="1:17" s="87" customFormat="1" ht="31.2" x14ac:dyDescent="0.3">
      <c r="A363" s="84"/>
      <c r="B363" s="386" t="s">
        <v>24</v>
      </c>
      <c r="C363" s="386"/>
      <c r="D363" s="386"/>
      <c r="E363" s="386"/>
      <c r="F363" s="387"/>
      <c r="G363" s="51" t="s">
        <v>2</v>
      </c>
      <c r="H363" s="51"/>
      <c r="I363" s="47"/>
      <c r="J363" s="48">
        <v>200</v>
      </c>
      <c r="K363" s="49">
        <v>212424</v>
      </c>
      <c r="L363" s="49"/>
      <c r="M363" s="238">
        <v>269000</v>
      </c>
      <c r="N363" s="49"/>
      <c r="O363" s="218">
        <f>223000-150000</f>
        <v>73000</v>
      </c>
      <c r="P363" s="224"/>
      <c r="Q363" s="224"/>
    </row>
    <row r="364" spans="1:17" s="87" customFormat="1" x14ac:dyDescent="0.3">
      <c r="A364" s="84"/>
      <c r="B364" s="94"/>
      <c r="C364" s="94"/>
      <c r="D364" s="94"/>
      <c r="E364" s="94"/>
      <c r="F364" s="95"/>
      <c r="G364" s="51" t="s">
        <v>5</v>
      </c>
      <c r="H364" s="51"/>
      <c r="I364" s="47" t="s">
        <v>0</v>
      </c>
      <c r="J364" s="48">
        <v>300</v>
      </c>
      <c r="K364" s="49">
        <v>14161576</v>
      </c>
      <c r="L364" s="49"/>
      <c r="M364" s="238">
        <v>15954000</v>
      </c>
      <c r="N364" s="49"/>
      <c r="O364" s="271">
        <f>14488658-9961658+16000</f>
        <v>4543000</v>
      </c>
      <c r="P364" s="224"/>
      <c r="Q364" s="224"/>
    </row>
    <row r="365" spans="1:17" s="87" customFormat="1" x14ac:dyDescent="0.3">
      <c r="A365" s="84"/>
      <c r="B365" s="386" t="s">
        <v>23</v>
      </c>
      <c r="C365" s="386"/>
      <c r="D365" s="386"/>
      <c r="E365" s="386"/>
      <c r="F365" s="387"/>
      <c r="G365" s="51" t="s">
        <v>88</v>
      </c>
      <c r="H365" s="51"/>
      <c r="I365" s="47" t="s">
        <v>206</v>
      </c>
      <c r="J365" s="48" t="s">
        <v>0</v>
      </c>
      <c r="K365" s="49">
        <f>K367+K366</f>
        <v>4440000</v>
      </c>
      <c r="L365" s="49">
        <f>L367+L366</f>
        <v>124706</v>
      </c>
      <c r="M365" s="238">
        <f>M367+M366</f>
        <v>4564706</v>
      </c>
      <c r="N365" s="49">
        <f>N367+N366</f>
        <v>0</v>
      </c>
      <c r="O365" s="218">
        <f>O367+O366</f>
        <v>1616629</v>
      </c>
      <c r="P365" s="224"/>
      <c r="Q365" s="224"/>
    </row>
    <row r="366" spans="1:17" s="87" customFormat="1" ht="31.2" x14ac:dyDescent="0.3">
      <c r="A366" s="84"/>
      <c r="B366" s="382">
        <v>500</v>
      </c>
      <c r="C366" s="382"/>
      <c r="D366" s="382"/>
      <c r="E366" s="382"/>
      <c r="F366" s="383"/>
      <c r="G366" s="51" t="s">
        <v>2</v>
      </c>
      <c r="H366" s="51"/>
      <c r="I366" s="47"/>
      <c r="J366" s="48">
        <v>200</v>
      </c>
      <c r="K366" s="49">
        <v>65616</v>
      </c>
      <c r="L366" s="49">
        <v>-30000</v>
      </c>
      <c r="M366" s="238">
        <f>L366+K366</f>
        <v>35616</v>
      </c>
      <c r="N366" s="49"/>
      <c r="O366" s="218">
        <f>57400-35400</f>
        <v>22000</v>
      </c>
      <c r="P366" s="224"/>
      <c r="Q366" s="224"/>
    </row>
    <row r="367" spans="1:17" s="87" customFormat="1" x14ac:dyDescent="0.3">
      <c r="A367" s="84"/>
      <c r="B367" s="85"/>
      <c r="C367" s="85"/>
      <c r="D367" s="85"/>
      <c r="E367" s="85"/>
      <c r="F367" s="86"/>
      <c r="G367" s="51" t="s">
        <v>5</v>
      </c>
      <c r="H367" s="51"/>
      <c r="I367" s="47" t="s">
        <v>0</v>
      </c>
      <c r="J367" s="48">
        <v>300</v>
      </c>
      <c r="K367" s="49">
        <v>4374384</v>
      </c>
      <c r="L367" s="49">
        <v>154706</v>
      </c>
      <c r="M367" s="238">
        <f>L367+K367</f>
        <v>4529090</v>
      </c>
      <c r="N367" s="49"/>
      <c r="O367" s="271">
        <f>4118729-175750-2348350</f>
        <v>1594629</v>
      </c>
      <c r="P367" s="224"/>
      <c r="Q367" s="224"/>
    </row>
    <row r="368" spans="1:17" s="87" customFormat="1" ht="31.2" x14ac:dyDescent="0.3">
      <c r="A368" s="84"/>
      <c r="B368" s="85"/>
      <c r="C368" s="85"/>
      <c r="D368" s="85"/>
      <c r="E368" s="85"/>
      <c r="F368" s="86"/>
      <c r="G368" s="51" t="s">
        <v>89</v>
      </c>
      <c r="H368" s="51"/>
      <c r="I368" s="47" t="s">
        <v>207</v>
      </c>
      <c r="J368" s="48" t="s">
        <v>0</v>
      </c>
      <c r="K368" s="49">
        <f>K370+K369</f>
        <v>6700000</v>
      </c>
      <c r="L368" s="49">
        <f>L370+L369</f>
        <v>0</v>
      </c>
      <c r="M368" s="238">
        <f>M370+M369</f>
        <v>8008000</v>
      </c>
      <c r="N368" s="49">
        <f>N370+N369</f>
        <v>0</v>
      </c>
      <c r="O368" s="218">
        <f>O370+O369</f>
        <v>1380000</v>
      </c>
      <c r="P368" s="224"/>
      <c r="Q368" s="224"/>
    </row>
    <row r="369" spans="1:17" s="87" customFormat="1" ht="31.2" x14ac:dyDescent="0.3">
      <c r="A369" s="84"/>
      <c r="B369" s="380" t="s">
        <v>22</v>
      </c>
      <c r="C369" s="380"/>
      <c r="D369" s="380"/>
      <c r="E369" s="380"/>
      <c r="F369" s="381"/>
      <c r="G369" s="51" t="s">
        <v>2</v>
      </c>
      <c r="H369" s="51"/>
      <c r="I369" s="47"/>
      <c r="J369" s="48">
        <v>200</v>
      </c>
      <c r="K369" s="49">
        <v>17000</v>
      </c>
      <c r="L369" s="49"/>
      <c r="M369" s="238">
        <v>35000</v>
      </c>
      <c r="N369" s="49"/>
      <c r="O369" s="218">
        <f>20000-17000</f>
        <v>3000</v>
      </c>
      <c r="P369" s="224"/>
      <c r="Q369" s="224"/>
    </row>
    <row r="370" spans="1:17" s="87" customFormat="1" x14ac:dyDescent="0.3">
      <c r="A370" s="84"/>
      <c r="B370" s="388" t="s">
        <v>21</v>
      </c>
      <c r="C370" s="388"/>
      <c r="D370" s="388"/>
      <c r="E370" s="388"/>
      <c r="F370" s="389"/>
      <c r="G370" s="51" t="s">
        <v>5</v>
      </c>
      <c r="H370" s="51"/>
      <c r="I370" s="47" t="s">
        <v>0</v>
      </c>
      <c r="J370" s="48">
        <v>300</v>
      </c>
      <c r="K370" s="49">
        <v>6683000</v>
      </c>
      <c r="L370" s="49"/>
      <c r="M370" s="238">
        <v>7973000</v>
      </c>
      <c r="N370" s="49"/>
      <c r="O370" s="271">
        <f>5721980-4344980</f>
        <v>1377000</v>
      </c>
      <c r="P370" s="224"/>
      <c r="Q370" s="224"/>
    </row>
    <row r="371" spans="1:17" s="87" customFormat="1" ht="46.8" x14ac:dyDescent="0.3">
      <c r="A371" s="84"/>
      <c r="B371" s="92"/>
      <c r="C371" s="92"/>
      <c r="D371" s="92"/>
      <c r="E371" s="92"/>
      <c r="F371" s="93"/>
      <c r="G371" s="51" t="s">
        <v>373</v>
      </c>
      <c r="H371" s="51"/>
      <c r="I371" s="47" t="s">
        <v>391</v>
      </c>
      <c r="J371" s="48"/>
      <c r="K371" s="49">
        <f>SUM(K372)</f>
        <v>152381</v>
      </c>
      <c r="L371" s="49">
        <f>SUM(L372)</f>
        <v>-3537</v>
      </c>
      <c r="M371" s="238">
        <f>SUM(M372)</f>
        <v>148844</v>
      </c>
      <c r="N371" s="49">
        <f>SUM(N372)</f>
        <v>0</v>
      </c>
      <c r="O371" s="218">
        <f>SUM(O372)</f>
        <v>61200</v>
      </c>
      <c r="P371" s="224"/>
      <c r="Q371" s="224"/>
    </row>
    <row r="372" spans="1:17" s="87" customFormat="1" x14ac:dyDescent="0.3">
      <c r="A372" s="84"/>
      <c r="B372" s="92"/>
      <c r="C372" s="92"/>
      <c r="D372" s="92"/>
      <c r="E372" s="92"/>
      <c r="F372" s="93"/>
      <c r="G372" s="51" t="s">
        <v>5</v>
      </c>
      <c r="H372" s="51"/>
      <c r="I372" s="47"/>
      <c r="J372" s="48">
        <v>300</v>
      </c>
      <c r="K372" s="49">
        <v>152381</v>
      </c>
      <c r="L372" s="49">
        <v>-3537</v>
      </c>
      <c r="M372" s="238">
        <f>L372+K372</f>
        <v>148844</v>
      </c>
      <c r="N372" s="49"/>
      <c r="O372" s="271">
        <f>148431-20684-66547</f>
        <v>61200</v>
      </c>
      <c r="P372" s="224"/>
      <c r="Q372" s="224"/>
    </row>
    <row r="373" spans="1:17" s="87" customFormat="1" ht="65.849999999999994" hidden="1" customHeight="1" x14ac:dyDescent="0.3">
      <c r="A373" s="84"/>
      <c r="B373" s="92"/>
      <c r="C373" s="92"/>
      <c r="D373" s="92"/>
      <c r="E373" s="92"/>
      <c r="F373" s="93"/>
      <c r="G373" s="51" t="s">
        <v>392</v>
      </c>
      <c r="H373" s="51"/>
      <c r="I373" s="47" t="s">
        <v>393</v>
      </c>
      <c r="J373" s="48"/>
      <c r="K373" s="49">
        <f>SUM(K374)</f>
        <v>0</v>
      </c>
      <c r="L373" s="49">
        <f>SUM(L374)</f>
        <v>0</v>
      </c>
      <c r="M373" s="238">
        <f>SUM(M374)</f>
        <v>202000</v>
      </c>
      <c r="N373" s="49"/>
      <c r="O373" s="218"/>
      <c r="P373" s="224"/>
      <c r="Q373" s="224"/>
    </row>
    <row r="374" spans="1:17" s="87" customFormat="1" ht="33.6" hidden="1" customHeight="1" x14ac:dyDescent="0.3">
      <c r="A374" s="84"/>
      <c r="B374" s="92"/>
      <c r="C374" s="92"/>
      <c r="D374" s="92"/>
      <c r="E374" s="92"/>
      <c r="F374" s="93"/>
      <c r="G374" s="51" t="s">
        <v>2</v>
      </c>
      <c r="H374" s="51"/>
      <c r="I374" s="47"/>
      <c r="J374" s="48">
        <v>200</v>
      </c>
      <c r="K374" s="49">
        <v>0</v>
      </c>
      <c r="L374" s="49"/>
      <c r="M374" s="238">
        <v>202000</v>
      </c>
      <c r="N374" s="49"/>
      <c r="O374" s="218"/>
      <c r="P374" s="224"/>
      <c r="Q374" s="224"/>
    </row>
    <row r="375" spans="1:17" s="87" customFormat="1" ht="62.4" x14ac:dyDescent="0.3">
      <c r="A375" s="84"/>
      <c r="B375" s="92"/>
      <c r="C375" s="92"/>
      <c r="D375" s="92"/>
      <c r="E375" s="92"/>
      <c r="F375" s="93"/>
      <c r="G375" s="51" t="s">
        <v>394</v>
      </c>
      <c r="H375" s="51"/>
      <c r="I375" s="47" t="s">
        <v>395</v>
      </c>
      <c r="J375" s="48"/>
      <c r="K375" s="49">
        <f>SUM(K376)</f>
        <v>2303</v>
      </c>
      <c r="L375" s="49">
        <f>SUM(L376)</f>
        <v>0</v>
      </c>
      <c r="M375" s="238">
        <f>SUM(M376)</f>
        <v>1850</v>
      </c>
      <c r="N375" s="49">
        <f>SUM(N376)</f>
        <v>0</v>
      </c>
      <c r="O375" s="218">
        <f>SUM(O376)</f>
        <v>810</v>
      </c>
      <c r="P375" s="224"/>
      <c r="Q375" s="224"/>
    </row>
    <row r="376" spans="1:17" s="87" customFormat="1" ht="31.2" x14ac:dyDescent="0.3">
      <c r="A376" s="84"/>
      <c r="B376" s="92"/>
      <c r="C376" s="92"/>
      <c r="D376" s="92"/>
      <c r="E376" s="92"/>
      <c r="F376" s="93"/>
      <c r="G376" s="51" t="s">
        <v>2</v>
      </c>
      <c r="H376" s="51"/>
      <c r="I376" s="47"/>
      <c r="J376" s="48">
        <v>200</v>
      </c>
      <c r="K376" s="49">
        <v>2303</v>
      </c>
      <c r="L376" s="49"/>
      <c r="M376" s="238">
        <v>1850</v>
      </c>
      <c r="N376" s="49"/>
      <c r="O376" s="218">
        <f>2301-1491</f>
        <v>810</v>
      </c>
      <c r="P376" s="224"/>
      <c r="Q376" s="224"/>
    </row>
    <row r="377" spans="1:17" s="87" customFormat="1" ht="46.8" x14ac:dyDescent="0.3">
      <c r="A377" s="84"/>
      <c r="B377" s="201"/>
      <c r="C377" s="201"/>
      <c r="D377" s="201"/>
      <c r="E377" s="201"/>
      <c r="F377" s="202"/>
      <c r="G377" s="51" t="s">
        <v>542</v>
      </c>
      <c r="H377" s="51"/>
      <c r="I377" s="47" t="s">
        <v>541</v>
      </c>
      <c r="J377" s="48"/>
      <c r="K377" s="49">
        <f>K378</f>
        <v>187238</v>
      </c>
      <c r="L377" s="49">
        <f>L378</f>
        <v>370000</v>
      </c>
      <c r="M377" s="238">
        <f>M378</f>
        <v>557238</v>
      </c>
      <c r="N377" s="49">
        <f>N378</f>
        <v>0</v>
      </c>
      <c r="O377" s="218">
        <f>O378</f>
        <v>121000</v>
      </c>
      <c r="P377" s="224"/>
      <c r="Q377" s="224"/>
    </row>
    <row r="378" spans="1:17" s="87" customFormat="1" ht="31.2" x14ac:dyDescent="0.3">
      <c r="A378" s="84"/>
      <c r="B378" s="201"/>
      <c r="C378" s="201"/>
      <c r="D378" s="201"/>
      <c r="E378" s="201"/>
      <c r="F378" s="202"/>
      <c r="G378" s="51" t="s">
        <v>2</v>
      </c>
      <c r="H378" s="51"/>
      <c r="I378" s="47"/>
      <c r="J378" s="48">
        <v>200</v>
      </c>
      <c r="K378" s="49">
        <v>187238</v>
      </c>
      <c r="L378" s="49">
        <v>370000</v>
      </c>
      <c r="M378" s="238">
        <f>L378+K378</f>
        <v>557238</v>
      </c>
      <c r="N378" s="49"/>
      <c r="O378" s="271">
        <f>221479-4000-96479</f>
        <v>121000</v>
      </c>
      <c r="P378" s="224"/>
      <c r="Q378" s="224"/>
    </row>
    <row r="379" spans="1:17" s="87" customFormat="1" ht="62.4" x14ac:dyDescent="0.3">
      <c r="A379" s="84"/>
      <c r="B379" s="321"/>
      <c r="C379" s="321"/>
      <c r="D379" s="321"/>
      <c r="E379" s="321"/>
      <c r="F379" s="322"/>
      <c r="G379" s="14" t="s">
        <v>660</v>
      </c>
      <c r="H379" s="14"/>
      <c r="I379" s="3" t="s">
        <v>661</v>
      </c>
      <c r="J379" s="215"/>
      <c r="K379" s="218"/>
      <c r="L379" s="325"/>
      <c r="M379" s="255"/>
      <c r="N379" s="255"/>
      <c r="O379" s="271">
        <f>O380</f>
        <v>185000</v>
      </c>
      <c r="P379" s="224"/>
      <c r="Q379" s="224"/>
    </row>
    <row r="380" spans="1:17" s="87" customFormat="1" x14ac:dyDescent="0.3">
      <c r="A380" s="84"/>
      <c r="B380" s="321"/>
      <c r="C380" s="321"/>
      <c r="D380" s="321"/>
      <c r="E380" s="321"/>
      <c r="F380" s="322"/>
      <c r="G380" s="14" t="s">
        <v>5</v>
      </c>
      <c r="H380" s="14"/>
      <c r="I380" s="3"/>
      <c r="J380" s="215">
        <v>300</v>
      </c>
      <c r="K380" s="218"/>
      <c r="L380" s="325"/>
      <c r="M380" s="255"/>
      <c r="N380" s="255"/>
      <c r="O380" s="271">
        <v>185000</v>
      </c>
      <c r="P380" s="224"/>
      <c r="Q380" s="224"/>
    </row>
    <row r="381" spans="1:17" s="87" customFormat="1" ht="31.2" x14ac:dyDescent="0.3">
      <c r="A381" s="84"/>
      <c r="B381" s="188"/>
      <c r="C381" s="188"/>
      <c r="D381" s="188"/>
      <c r="E381" s="188"/>
      <c r="F381" s="189"/>
      <c r="G381" s="63" t="s">
        <v>467</v>
      </c>
      <c r="H381" s="51"/>
      <c r="I381" s="64" t="s">
        <v>470</v>
      </c>
      <c r="J381" s="48"/>
      <c r="K381" s="49">
        <f>K382+K384+K388</f>
        <v>22577864</v>
      </c>
      <c r="L381" s="49">
        <f>L382+L384</f>
        <v>0</v>
      </c>
      <c r="M381" s="238">
        <f>M382+M384</f>
        <v>22404564</v>
      </c>
      <c r="N381" s="49">
        <f>N382+N384+N388</f>
        <v>0</v>
      </c>
      <c r="O381" s="218">
        <f>O382+O384+O388</f>
        <v>2248095</v>
      </c>
      <c r="P381" s="224"/>
      <c r="Q381" s="224"/>
    </row>
    <row r="382" spans="1:17" s="87" customFormat="1" ht="46.8" x14ac:dyDescent="0.3">
      <c r="A382" s="84"/>
      <c r="B382" s="188"/>
      <c r="C382" s="188"/>
      <c r="D382" s="188"/>
      <c r="E382" s="188"/>
      <c r="F382" s="189"/>
      <c r="G382" s="51" t="s">
        <v>496</v>
      </c>
      <c r="H382" s="51"/>
      <c r="I382" s="47" t="s">
        <v>463</v>
      </c>
      <c r="J382" s="48"/>
      <c r="K382" s="49">
        <f t="shared" ref="K382:O382" si="23">K383</f>
        <v>12230244</v>
      </c>
      <c r="L382" s="49">
        <f t="shared" si="23"/>
        <v>0</v>
      </c>
      <c r="M382" s="238">
        <f t="shared" si="23"/>
        <v>12230244</v>
      </c>
      <c r="N382" s="49">
        <f t="shared" si="23"/>
        <v>0</v>
      </c>
      <c r="O382" s="218">
        <f t="shared" si="23"/>
        <v>2208690</v>
      </c>
      <c r="P382" s="224"/>
      <c r="Q382" s="224"/>
    </row>
    <row r="383" spans="1:17" s="87" customFormat="1" x14ac:dyDescent="0.3">
      <c r="A383" s="84"/>
      <c r="B383" s="188"/>
      <c r="C383" s="188"/>
      <c r="D383" s="188"/>
      <c r="E383" s="188"/>
      <c r="F383" s="189"/>
      <c r="G383" s="51" t="s">
        <v>5</v>
      </c>
      <c r="H383" s="51"/>
      <c r="I383" s="47"/>
      <c r="J383" s="48">
        <v>300</v>
      </c>
      <c r="K383" s="49">
        <v>12230244</v>
      </c>
      <c r="L383" s="49"/>
      <c r="M383" s="238">
        <f>K383+L383</f>
        <v>12230244</v>
      </c>
      <c r="N383" s="49"/>
      <c r="O383" s="271">
        <f>9316656-1919151-5188815</f>
        <v>2208690</v>
      </c>
      <c r="P383" s="224"/>
      <c r="Q383" s="224"/>
    </row>
    <row r="384" spans="1:17" s="87" customFormat="1" ht="31.2" x14ac:dyDescent="0.3">
      <c r="A384" s="84"/>
      <c r="B384" s="188"/>
      <c r="C384" s="188"/>
      <c r="D384" s="188"/>
      <c r="E384" s="188"/>
      <c r="F384" s="189"/>
      <c r="G384" s="51" t="s">
        <v>495</v>
      </c>
      <c r="H384" s="51"/>
      <c r="I384" s="47" t="s">
        <v>464</v>
      </c>
      <c r="J384" s="48"/>
      <c r="K384" s="49">
        <f>K385+K387</f>
        <v>10174320</v>
      </c>
      <c r="L384" s="49">
        <f>L385+L387</f>
        <v>0</v>
      </c>
      <c r="M384" s="238">
        <f>M385+M387</f>
        <v>10174320</v>
      </c>
      <c r="N384" s="49">
        <f>N385+N387</f>
        <v>0</v>
      </c>
      <c r="O384" s="218">
        <f>O386+O387</f>
        <v>0</v>
      </c>
      <c r="P384" s="224"/>
      <c r="Q384" s="224"/>
    </row>
    <row r="385" spans="1:17" s="87" customFormat="1" ht="36" hidden="1" customHeight="1" x14ac:dyDescent="0.3">
      <c r="A385" s="84"/>
      <c r="B385" s="188"/>
      <c r="C385" s="188"/>
      <c r="D385" s="188"/>
      <c r="E385" s="188"/>
      <c r="F385" s="189"/>
      <c r="G385" s="51" t="s">
        <v>2</v>
      </c>
      <c r="H385" s="51"/>
      <c r="I385" s="47"/>
      <c r="J385" s="48">
        <v>200</v>
      </c>
      <c r="K385" s="49">
        <v>0</v>
      </c>
      <c r="L385" s="49"/>
      <c r="M385" s="238">
        <f>K385+L385</f>
        <v>0</v>
      </c>
      <c r="N385" s="49"/>
      <c r="O385" s="218"/>
      <c r="P385" s="224"/>
      <c r="Q385" s="224"/>
    </row>
    <row r="386" spans="1:17" s="87" customFormat="1" ht="36" customHeight="1" x14ac:dyDescent="0.3">
      <c r="A386" s="84"/>
      <c r="B386" s="285"/>
      <c r="C386" s="285"/>
      <c r="D386" s="285"/>
      <c r="E386" s="285"/>
      <c r="F386" s="286"/>
      <c r="G386" s="51" t="s">
        <v>2</v>
      </c>
      <c r="H386" s="51"/>
      <c r="I386" s="47"/>
      <c r="J386" s="48">
        <v>200</v>
      </c>
      <c r="K386" s="49"/>
      <c r="L386" s="49"/>
      <c r="M386" s="238"/>
      <c r="N386" s="49"/>
      <c r="O386" s="218">
        <f>141900-141900</f>
        <v>0</v>
      </c>
      <c r="P386" s="224"/>
      <c r="Q386" s="224"/>
    </row>
    <row r="387" spans="1:17" s="87" customFormat="1" x14ac:dyDescent="0.3">
      <c r="A387" s="84"/>
      <c r="B387" s="188"/>
      <c r="C387" s="188"/>
      <c r="D387" s="188"/>
      <c r="E387" s="188"/>
      <c r="F387" s="189"/>
      <c r="G387" s="51" t="s">
        <v>5</v>
      </c>
      <c r="H387" s="51"/>
      <c r="I387" s="47"/>
      <c r="J387" s="48">
        <v>300</v>
      </c>
      <c r="K387" s="49">
        <v>10174320</v>
      </c>
      <c r="L387" s="49"/>
      <c r="M387" s="238">
        <f>K387+L387</f>
        <v>10174320</v>
      </c>
      <c r="N387" s="49"/>
      <c r="O387" s="218"/>
      <c r="P387" s="224"/>
      <c r="Q387" s="224"/>
    </row>
    <row r="388" spans="1:17" s="87" customFormat="1" ht="62.4" x14ac:dyDescent="0.3">
      <c r="A388" s="84"/>
      <c r="B388" s="227"/>
      <c r="C388" s="227"/>
      <c r="D388" s="227"/>
      <c r="E388" s="227"/>
      <c r="F388" s="228"/>
      <c r="G388" s="51" t="s">
        <v>392</v>
      </c>
      <c r="H388" s="51"/>
      <c r="I388" s="47" t="s">
        <v>556</v>
      </c>
      <c r="J388" s="48"/>
      <c r="K388" s="49">
        <f>K389</f>
        <v>173300</v>
      </c>
      <c r="L388" s="49"/>
      <c r="M388" s="238"/>
      <c r="N388" s="49">
        <f>N389</f>
        <v>0</v>
      </c>
      <c r="O388" s="218">
        <f>O389</f>
        <v>39405</v>
      </c>
      <c r="P388" s="224"/>
      <c r="Q388" s="224"/>
    </row>
    <row r="389" spans="1:17" s="87" customFormat="1" ht="31.2" x14ac:dyDescent="0.3">
      <c r="A389" s="84"/>
      <c r="B389" s="227"/>
      <c r="C389" s="227"/>
      <c r="D389" s="227"/>
      <c r="E389" s="227"/>
      <c r="F389" s="228"/>
      <c r="G389" s="51" t="s">
        <v>2</v>
      </c>
      <c r="H389" s="51"/>
      <c r="I389" s="47"/>
      <c r="J389" s="48">
        <v>200</v>
      </c>
      <c r="K389" s="49">
        <v>173300</v>
      </c>
      <c r="L389" s="49"/>
      <c r="M389" s="238"/>
      <c r="N389" s="49"/>
      <c r="O389" s="271">
        <f>121116-4882-76829</f>
        <v>39405</v>
      </c>
      <c r="P389" s="224"/>
      <c r="Q389" s="224"/>
    </row>
    <row r="390" spans="1:17" ht="46.8" x14ac:dyDescent="0.3">
      <c r="A390" s="4"/>
      <c r="B390" s="12"/>
      <c r="C390" s="12"/>
      <c r="D390" s="12"/>
      <c r="E390" s="12"/>
      <c r="F390" s="13"/>
      <c r="G390" s="63" t="s">
        <v>210</v>
      </c>
      <c r="H390" s="63"/>
      <c r="I390" s="64" t="s">
        <v>208</v>
      </c>
      <c r="J390" s="48"/>
      <c r="K390" s="49">
        <f>K391+K395+K397</f>
        <v>9190990</v>
      </c>
      <c r="L390" s="49">
        <f>L391</f>
        <v>0</v>
      </c>
      <c r="M390" s="238">
        <f>M391</f>
        <v>2314460</v>
      </c>
      <c r="N390" s="49">
        <f>N391+N395+N397</f>
        <v>0</v>
      </c>
      <c r="O390" s="218">
        <f>O391+O395+O397</f>
        <v>9578732</v>
      </c>
      <c r="P390" s="224"/>
      <c r="Q390" s="224"/>
    </row>
    <row r="391" spans="1:17" s="87" customFormat="1" ht="31.2" x14ac:dyDescent="0.3">
      <c r="A391" s="84"/>
      <c r="B391" s="92"/>
      <c r="C391" s="92"/>
      <c r="D391" s="92"/>
      <c r="E391" s="92"/>
      <c r="F391" s="93"/>
      <c r="G391" s="51" t="s">
        <v>414</v>
      </c>
      <c r="H391" s="51"/>
      <c r="I391" s="47" t="s">
        <v>209</v>
      </c>
      <c r="J391" s="48"/>
      <c r="K391" s="49">
        <f>K393+K392</f>
        <v>878140</v>
      </c>
      <c r="L391" s="49">
        <f>L393+L392</f>
        <v>0</v>
      </c>
      <c r="M391" s="238">
        <f>M393+M392</f>
        <v>2314460</v>
      </c>
      <c r="N391" s="49">
        <f>N393+N392</f>
        <v>0</v>
      </c>
      <c r="O391" s="218">
        <f>O393+O392</f>
        <v>1850000</v>
      </c>
      <c r="P391" s="224"/>
      <c r="Q391" s="224"/>
    </row>
    <row r="392" spans="1:17" s="87" customFormat="1" ht="31.2" x14ac:dyDescent="0.3">
      <c r="A392" s="84"/>
      <c r="B392" s="170"/>
      <c r="C392" s="170"/>
      <c r="D392" s="170"/>
      <c r="E392" s="170"/>
      <c r="F392" s="171"/>
      <c r="G392" s="51" t="s">
        <v>2</v>
      </c>
      <c r="H392" s="51"/>
      <c r="I392" s="47"/>
      <c r="J392" s="48">
        <v>200</v>
      </c>
      <c r="K392" s="49">
        <v>12640</v>
      </c>
      <c r="L392" s="49"/>
      <c r="M392" s="238">
        <v>38000</v>
      </c>
      <c r="N392" s="49"/>
      <c r="O392" s="218">
        <f>13500+3395+3900+2705</f>
        <v>23500</v>
      </c>
      <c r="P392" s="224"/>
      <c r="Q392" s="224"/>
    </row>
    <row r="393" spans="1:17" s="87" customFormat="1" x14ac:dyDescent="0.3">
      <c r="A393" s="84"/>
      <c r="B393" s="92"/>
      <c r="C393" s="92"/>
      <c r="D393" s="92"/>
      <c r="E393" s="92"/>
      <c r="F393" s="93"/>
      <c r="G393" s="51" t="s">
        <v>5</v>
      </c>
      <c r="H393" s="51"/>
      <c r="I393" s="47"/>
      <c r="J393" s="48">
        <v>300</v>
      </c>
      <c r="K393" s="49">
        <v>865500</v>
      </c>
      <c r="L393" s="49"/>
      <c r="M393" s="238">
        <v>2276460</v>
      </c>
      <c r="N393" s="49"/>
      <c r="O393" s="271">
        <f>1286500+542705-2705</f>
        <v>1826500</v>
      </c>
      <c r="P393" s="224"/>
      <c r="Q393" s="224"/>
    </row>
    <row r="394" spans="1:17" ht="49.5" hidden="1" customHeight="1" x14ac:dyDescent="0.3">
      <c r="A394" s="4"/>
      <c r="B394" s="10"/>
      <c r="C394" s="10"/>
      <c r="D394" s="10"/>
      <c r="E394" s="10"/>
      <c r="F394" s="11"/>
      <c r="G394" s="51" t="s">
        <v>369</v>
      </c>
      <c r="H394" s="121"/>
      <c r="I394" s="47" t="s">
        <v>211</v>
      </c>
      <c r="J394" s="48" t="s">
        <v>0</v>
      </c>
      <c r="K394" s="49">
        <f>K399</f>
        <v>57807486</v>
      </c>
      <c r="L394" s="49"/>
      <c r="M394" s="238">
        <f>M399</f>
        <v>57807486</v>
      </c>
      <c r="N394" s="49"/>
      <c r="O394" s="218"/>
      <c r="P394" s="224"/>
      <c r="Q394" s="224"/>
    </row>
    <row r="395" spans="1:17" ht="62.4" x14ac:dyDescent="0.3">
      <c r="A395" s="4"/>
      <c r="B395" s="10"/>
      <c r="C395" s="10"/>
      <c r="D395" s="10"/>
      <c r="E395" s="10"/>
      <c r="F395" s="11"/>
      <c r="G395" s="51" t="s">
        <v>545</v>
      </c>
      <c r="H395" s="121"/>
      <c r="I395" s="47" t="s">
        <v>543</v>
      </c>
      <c r="J395" s="48"/>
      <c r="K395" s="49">
        <f>K396</f>
        <v>122850</v>
      </c>
      <c r="L395" s="49"/>
      <c r="M395" s="238"/>
      <c r="N395" s="49">
        <f>N396</f>
        <v>0</v>
      </c>
      <c r="O395" s="49">
        <f>O396</f>
        <v>114218</v>
      </c>
      <c r="P395" s="224"/>
      <c r="Q395" s="224"/>
    </row>
    <row r="396" spans="1:17" ht="31.2" x14ac:dyDescent="0.3">
      <c r="A396" s="4"/>
      <c r="B396" s="10"/>
      <c r="C396" s="10"/>
      <c r="D396" s="10"/>
      <c r="E396" s="10"/>
      <c r="F396" s="11"/>
      <c r="G396" s="51" t="s">
        <v>2</v>
      </c>
      <c r="H396" s="121"/>
      <c r="I396" s="47"/>
      <c r="J396" s="48">
        <v>200</v>
      </c>
      <c r="K396" s="49">
        <v>122850</v>
      </c>
      <c r="L396" s="49"/>
      <c r="M396" s="238"/>
      <c r="N396" s="49"/>
      <c r="O396" s="271">
        <v>114218</v>
      </c>
      <c r="P396" s="224"/>
      <c r="Q396" s="224"/>
    </row>
    <row r="397" spans="1:17" ht="46.8" x14ac:dyDescent="0.3">
      <c r="A397" s="4"/>
      <c r="B397" s="10"/>
      <c r="C397" s="10"/>
      <c r="D397" s="10"/>
      <c r="E397" s="10"/>
      <c r="F397" s="11"/>
      <c r="G397" s="51" t="s">
        <v>546</v>
      </c>
      <c r="H397" s="121"/>
      <c r="I397" s="47" t="s">
        <v>544</v>
      </c>
      <c r="J397" s="48"/>
      <c r="K397" s="49">
        <f>K398</f>
        <v>8190000</v>
      </c>
      <c r="L397" s="49"/>
      <c r="M397" s="238"/>
      <c r="N397" s="49">
        <f>N398</f>
        <v>0</v>
      </c>
      <c r="O397" s="218">
        <f>O398</f>
        <v>7614514</v>
      </c>
      <c r="P397" s="224"/>
      <c r="Q397" s="224"/>
    </row>
    <row r="398" spans="1:17" x14ac:dyDescent="0.3">
      <c r="A398" s="4"/>
      <c r="B398" s="10"/>
      <c r="C398" s="10"/>
      <c r="D398" s="10"/>
      <c r="E398" s="10"/>
      <c r="F398" s="11"/>
      <c r="G398" s="51" t="s">
        <v>5</v>
      </c>
      <c r="H398" s="121"/>
      <c r="I398" s="47"/>
      <c r="J398" s="48">
        <v>300</v>
      </c>
      <c r="K398" s="49">
        <v>8190000</v>
      </c>
      <c r="L398" s="49"/>
      <c r="M398" s="238"/>
      <c r="N398" s="49"/>
      <c r="O398" s="271">
        <v>7614514</v>
      </c>
      <c r="P398" s="224"/>
      <c r="Q398" s="224"/>
    </row>
    <row r="399" spans="1:17" ht="31.2" x14ac:dyDescent="0.3">
      <c r="A399" s="4"/>
      <c r="B399" s="10"/>
      <c r="C399" s="10"/>
      <c r="D399" s="10"/>
      <c r="E399" s="10"/>
      <c r="F399" s="11"/>
      <c r="G399" s="63" t="s">
        <v>214</v>
      </c>
      <c r="H399" s="63"/>
      <c r="I399" s="64" t="s">
        <v>371</v>
      </c>
      <c r="J399" s="48"/>
      <c r="K399" s="49">
        <f t="shared" ref="K399:O400" si="24">K400</f>
        <v>57807486</v>
      </c>
      <c r="L399" s="49">
        <f t="shared" si="24"/>
        <v>0</v>
      </c>
      <c r="M399" s="238">
        <f t="shared" si="24"/>
        <v>57807486</v>
      </c>
      <c r="N399" s="49">
        <f t="shared" si="24"/>
        <v>0</v>
      </c>
      <c r="O399" s="218">
        <f t="shared" si="24"/>
        <v>67263085</v>
      </c>
      <c r="P399" s="224"/>
      <c r="Q399" s="224"/>
    </row>
    <row r="400" spans="1:17" s="87" customFormat="1" ht="78" x14ac:dyDescent="0.3">
      <c r="A400" s="84"/>
      <c r="B400" s="90"/>
      <c r="C400" s="90"/>
      <c r="D400" s="90"/>
      <c r="E400" s="90"/>
      <c r="F400" s="91"/>
      <c r="G400" s="51" t="s">
        <v>415</v>
      </c>
      <c r="H400" s="51"/>
      <c r="I400" s="47" t="s">
        <v>372</v>
      </c>
      <c r="J400" s="48"/>
      <c r="K400" s="49">
        <f t="shared" si="24"/>
        <v>57807486</v>
      </c>
      <c r="L400" s="49">
        <f t="shared" si="24"/>
        <v>0</v>
      </c>
      <c r="M400" s="238">
        <f t="shared" si="24"/>
        <v>57807486</v>
      </c>
      <c r="N400" s="49">
        <f t="shared" si="24"/>
        <v>0</v>
      </c>
      <c r="O400" s="218">
        <f t="shared" si="24"/>
        <v>67263085</v>
      </c>
      <c r="P400" s="224"/>
      <c r="Q400" s="224"/>
    </row>
    <row r="401" spans="1:17" s="87" customFormat="1" ht="31.2" x14ac:dyDescent="0.3">
      <c r="A401" s="84"/>
      <c r="B401" s="90"/>
      <c r="C401" s="90"/>
      <c r="D401" s="90"/>
      <c r="E401" s="90"/>
      <c r="F401" s="91"/>
      <c r="G401" s="51" t="s">
        <v>4</v>
      </c>
      <c r="H401" s="51"/>
      <c r="I401" s="79"/>
      <c r="J401" s="48">
        <v>600</v>
      </c>
      <c r="K401" s="49">
        <v>57807486</v>
      </c>
      <c r="L401" s="49">
        <v>0</v>
      </c>
      <c r="M401" s="238">
        <f>K401+L401</f>
        <v>57807486</v>
      </c>
      <c r="N401" s="49"/>
      <c r="O401" s="271">
        <f>66408546+854539</f>
        <v>67263085</v>
      </c>
      <c r="P401" s="224"/>
      <c r="Q401" s="224"/>
    </row>
    <row r="402" spans="1:17" ht="69" hidden="1" customHeight="1" x14ac:dyDescent="0.3">
      <c r="A402" s="4"/>
      <c r="B402" s="12"/>
      <c r="C402" s="12"/>
      <c r="D402" s="12"/>
      <c r="E402" s="12"/>
      <c r="F402" s="13"/>
      <c r="G402" s="121" t="s">
        <v>433</v>
      </c>
      <c r="H402" s="121"/>
      <c r="I402" s="60" t="s">
        <v>211</v>
      </c>
      <c r="J402" s="48"/>
      <c r="K402" s="127">
        <f>K403</f>
        <v>0</v>
      </c>
      <c r="L402" s="49"/>
      <c r="M402" s="239">
        <f>M403</f>
        <v>0</v>
      </c>
      <c r="N402" s="127"/>
      <c r="O402" s="218"/>
      <c r="P402" s="224"/>
      <c r="Q402" s="224"/>
    </row>
    <row r="403" spans="1:17" ht="31.2" hidden="1" x14ac:dyDescent="0.3">
      <c r="A403" s="4"/>
      <c r="B403" s="367" t="s">
        <v>20</v>
      </c>
      <c r="C403" s="367"/>
      <c r="D403" s="367"/>
      <c r="E403" s="367"/>
      <c r="F403" s="368"/>
      <c r="G403" s="63" t="s">
        <v>370</v>
      </c>
      <c r="H403" s="63"/>
      <c r="I403" s="64" t="s">
        <v>212</v>
      </c>
      <c r="J403" s="48"/>
      <c r="K403" s="49">
        <f>K404</f>
        <v>0</v>
      </c>
      <c r="L403" s="49"/>
      <c r="M403" s="238">
        <f>M404</f>
        <v>0</v>
      </c>
      <c r="N403" s="49"/>
      <c r="O403" s="218"/>
      <c r="P403" s="224"/>
      <c r="Q403" s="224"/>
    </row>
    <row r="404" spans="1:17" ht="62.4" hidden="1" x14ac:dyDescent="0.3">
      <c r="A404" s="4"/>
      <c r="B404" s="17"/>
      <c r="C404" s="17"/>
      <c r="D404" s="17"/>
      <c r="E404" s="17"/>
      <c r="F404" s="18"/>
      <c r="G404" s="66" t="s">
        <v>432</v>
      </c>
      <c r="H404" s="51"/>
      <c r="I404" s="47" t="s">
        <v>213</v>
      </c>
      <c r="J404" s="48"/>
      <c r="K404" s="49">
        <f>K405+K406</f>
        <v>0</v>
      </c>
      <c r="L404" s="49"/>
      <c r="M404" s="238">
        <f>M405+M406</f>
        <v>0</v>
      </c>
      <c r="N404" s="49"/>
      <c r="O404" s="218"/>
      <c r="P404" s="224"/>
      <c r="Q404" s="224"/>
    </row>
    <row r="405" spans="1:17" s="56" customFormat="1" ht="39.75" hidden="1" customHeight="1" x14ac:dyDescent="0.3">
      <c r="A405" s="53"/>
      <c r="B405" s="54"/>
      <c r="C405" s="54"/>
      <c r="D405" s="54"/>
      <c r="E405" s="54"/>
      <c r="F405" s="55"/>
      <c r="G405" s="51" t="s">
        <v>2</v>
      </c>
      <c r="H405" s="51"/>
      <c r="I405" s="47"/>
      <c r="J405" s="48">
        <v>200</v>
      </c>
      <c r="K405" s="49">
        <v>0</v>
      </c>
      <c r="L405" s="49"/>
      <c r="M405" s="238">
        <v>0</v>
      </c>
      <c r="N405" s="49"/>
      <c r="O405" s="218"/>
      <c r="P405" s="224"/>
      <c r="Q405" s="224"/>
    </row>
    <row r="406" spans="1:17" s="56" customFormat="1" ht="39.75" hidden="1" customHeight="1" x14ac:dyDescent="0.3">
      <c r="A406" s="53"/>
      <c r="B406" s="54"/>
      <c r="C406" s="54"/>
      <c r="D406" s="54"/>
      <c r="E406" s="54"/>
      <c r="F406" s="55"/>
      <c r="G406" s="51" t="s">
        <v>4</v>
      </c>
      <c r="H406" s="51"/>
      <c r="I406" s="47"/>
      <c r="J406" s="48">
        <v>600</v>
      </c>
      <c r="K406" s="49">
        <v>0</v>
      </c>
      <c r="L406" s="49"/>
      <c r="M406" s="238">
        <v>0</v>
      </c>
      <c r="N406" s="49"/>
      <c r="O406" s="218"/>
      <c r="P406" s="224"/>
      <c r="Q406" s="224"/>
    </row>
    <row r="407" spans="1:17" s="56" customFormat="1" ht="33" hidden="1" customHeight="1" x14ac:dyDescent="0.3">
      <c r="A407" s="53"/>
      <c r="B407" s="54"/>
      <c r="C407" s="54"/>
      <c r="D407" s="54"/>
      <c r="E407" s="54"/>
      <c r="F407" s="55"/>
      <c r="G407" s="63" t="s">
        <v>468</v>
      </c>
      <c r="H407" s="51"/>
      <c r="I407" s="64" t="s">
        <v>469</v>
      </c>
      <c r="J407" s="48"/>
      <c r="K407" s="49">
        <f t="shared" ref="K407:M408" si="25">K408</f>
        <v>0</v>
      </c>
      <c r="L407" s="49">
        <f t="shared" si="25"/>
        <v>0</v>
      </c>
      <c r="M407" s="238">
        <f t="shared" si="25"/>
        <v>0</v>
      </c>
      <c r="N407" s="49"/>
      <c r="O407" s="218"/>
      <c r="P407" s="224"/>
      <c r="Q407" s="224"/>
    </row>
    <row r="408" spans="1:17" s="56" customFormat="1" ht="46.35" hidden="1" customHeight="1" x14ac:dyDescent="0.3">
      <c r="A408" s="53"/>
      <c r="B408" s="54"/>
      <c r="C408" s="54"/>
      <c r="D408" s="54"/>
      <c r="E408" s="54"/>
      <c r="F408" s="55"/>
      <c r="G408" s="51" t="s">
        <v>494</v>
      </c>
      <c r="H408" s="63"/>
      <c r="I408" s="47" t="s">
        <v>465</v>
      </c>
      <c r="J408" s="48"/>
      <c r="K408" s="49">
        <f t="shared" si="25"/>
        <v>0</v>
      </c>
      <c r="L408" s="49">
        <f t="shared" si="25"/>
        <v>0</v>
      </c>
      <c r="M408" s="238">
        <f t="shared" si="25"/>
        <v>0</v>
      </c>
      <c r="N408" s="49"/>
      <c r="O408" s="218"/>
      <c r="P408" s="224"/>
      <c r="Q408" s="224"/>
    </row>
    <row r="409" spans="1:17" s="56" customFormat="1" ht="39.75" hidden="1" customHeight="1" x14ac:dyDescent="0.3">
      <c r="A409" s="53"/>
      <c r="B409" s="54"/>
      <c r="C409" s="54"/>
      <c r="D409" s="54"/>
      <c r="E409" s="54"/>
      <c r="F409" s="55"/>
      <c r="G409" s="51" t="s">
        <v>4</v>
      </c>
      <c r="H409" s="63"/>
      <c r="I409" s="47"/>
      <c r="J409" s="48">
        <v>600</v>
      </c>
      <c r="K409" s="49"/>
      <c r="L409" s="49">
        <v>0</v>
      </c>
      <c r="M409" s="238">
        <f>K409+L409</f>
        <v>0</v>
      </c>
      <c r="N409" s="49"/>
      <c r="O409" s="218"/>
      <c r="P409" s="224"/>
      <c r="Q409" s="224"/>
    </row>
    <row r="410" spans="1:17" s="56" customFormat="1" ht="46.8" hidden="1" x14ac:dyDescent="0.3">
      <c r="A410" s="53"/>
      <c r="B410" s="54"/>
      <c r="C410" s="54"/>
      <c r="D410" s="54"/>
      <c r="E410" s="54"/>
      <c r="F410" s="55"/>
      <c r="G410" s="143" t="s">
        <v>597</v>
      </c>
      <c r="H410" s="63"/>
      <c r="I410" s="47" t="s">
        <v>505</v>
      </c>
      <c r="J410" s="48"/>
      <c r="K410" s="49">
        <f>K411</f>
        <v>10000</v>
      </c>
      <c r="L410" s="49"/>
      <c r="M410" s="238"/>
      <c r="N410" s="49">
        <f t="shared" ref="N410:O412" si="26">N411</f>
        <v>0</v>
      </c>
      <c r="O410" s="218">
        <f t="shared" si="26"/>
        <v>0</v>
      </c>
      <c r="P410" s="224"/>
      <c r="Q410" s="224"/>
    </row>
    <row r="411" spans="1:17" s="56" customFormat="1" ht="46.8" hidden="1" x14ac:dyDescent="0.3">
      <c r="A411" s="53"/>
      <c r="B411" s="54"/>
      <c r="C411" s="54"/>
      <c r="D411" s="54"/>
      <c r="E411" s="54"/>
      <c r="F411" s="55"/>
      <c r="G411" s="147" t="s">
        <v>508</v>
      </c>
      <c r="H411" s="63"/>
      <c r="I411" s="64" t="s">
        <v>506</v>
      </c>
      <c r="J411" s="48"/>
      <c r="K411" s="49">
        <f>K412</f>
        <v>10000</v>
      </c>
      <c r="L411" s="49"/>
      <c r="M411" s="238"/>
      <c r="N411" s="49">
        <f t="shared" si="26"/>
        <v>0</v>
      </c>
      <c r="O411" s="218">
        <f t="shared" si="26"/>
        <v>0</v>
      </c>
      <c r="P411" s="224"/>
      <c r="Q411" s="224"/>
    </row>
    <row r="412" spans="1:17" s="56" customFormat="1" ht="46.8" hidden="1" x14ac:dyDescent="0.3">
      <c r="A412" s="53"/>
      <c r="B412" s="54"/>
      <c r="C412" s="54"/>
      <c r="D412" s="54"/>
      <c r="E412" s="54"/>
      <c r="F412" s="55"/>
      <c r="G412" s="143" t="s">
        <v>598</v>
      </c>
      <c r="H412" s="63"/>
      <c r="I412" s="47" t="s">
        <v>507</v>
      </c>
      <c r="J412" s="48"/>
      <c r="K412" s="49">
        <f>K413</f>
        <v>10000</v>
      </c>
      <c r="L412" s="49"/>
      <c r="M412" s="238"/>
      <c r="N412" s="49">
        <f t="shared" si="26"/>
        <v>0</v>
      </c>
      <c r="O412" s="218">
        <f t="shared" si="26"/>
        <v>0</v>
      </c>
      <c r="P412" s="224"/>
      <c r="Q412" s="224"/>
    </row>
    <row r="413" spans="1:17" s="56" customFormat="1" ht="31.2" hidden="1" x14ac:dyDescent="0.3">
      <c r="A413" s="53"/>
      <c r="B413" s="54"/>
      <c r="C413" s="54"/>
      <c r="D413" s="54"/>
      <c r="E413" s="54"/>
      <c r="F413" s="55"/>
      <c r="G413" s="51" t="s">
        <v>2</v>
      </c>
      <c r="H413" s="63"/>
      <c r="I413" s="60"/>
      <c r="J413" s="48">
        <v>200</v>
      </c>
      <c r="K413" s="49">
        <v>10000</v>
      </c>
      <c r="L413" s="49"/>
      <c r="M413" s="238"/>
      <c r="N413" s="49"/>
      <c r="O413" s="218"/>
      <c r="P413" s="224"/>
      <c r="Q413" s="224"/>
    </row>
    <row r="414" spans="1:17" s="56" customFormat="1" ht="46.8" x14ac:dyDescent="0.3">
      <c r="A414" s="53"/>
      <c r="B414" s="54"/>
      <c r="C414" s="54"/>
      <c r="D414" s="54"/>
      <c r="E414" s="54"/>
      <c r="F414" s="55"/>
      <c r="G414" s="328" t="s">
        <v>669</v>
      </c>
      <c r="H414" s="63"/>
      <c r="I414" s="313" t="s">
        <v>505</v>
      </c>
      <c r="J414" s="48"/>
      <c r="K414" s="49"/>
      <c r="L414" s="49"/>
      <c r="M414" s="238"/>
      <c r="N414" s="49"/>
      <c r="O414" s="218">
        <f>O415</f>
        <v>50000</v>
      </c>
      <c r="P414" s="224"/>
      <c r="Q414" s="224"/>
    </row>
    <row r="415" spans="1:17" s="56" customFormat="1" ht="46.8" x14ac:dyDescent="0.3">
      <c r="A415" s="53"/>
      <c r="B415" s="54"/>
      <c r="C415" s="54"/>
      <c r="D415" s="54"/>
      <c r="E415" s="54"/>
      <c r="F415" s="55"/>
      <c r="G415" s="63" t="s">
        <v>508</v>
      </c>
      <c r="H415" s="63"/>
      <c r="I415" s="64" t="s">
        <v>506</v>
      </c>
      <c r="J415" s="48"/>
      <c r="K415" s="49"/>
      <c r="L415" s="49"/>
      <c r="M415" s="238"/>
      <c r="N415" s="49"/>
      <c r="O415" s="218">
        <f>O416</f>
        <v>50000</v>
      </c>
      <c r="P415" s="224"/>
      <c r="Q415" s="224"/>
    </row>
    <row r="416" spans="1:17" s="56" customFormat="1" ht="46.8" x14ac:dyDescent="0.3">
      <c r="A416" s="53"/>
      <c r="B416" s="54"/>
      <c r="C416" s="54"/>
      <c r="D416" s="54"/>
      <c r="E416" s="54"/>
      <c r="F416" s="55"/>
      <c r="G416" s="51" t="s">
        <v>668</v>
      </c>
      <c r="H416" s="63"/>
      <c r="I416" s="47" t="s">
        <v>507</v>
      </c>
      <c r="J416" s="48"/>
      <c r="K416" s="49"/>
      <c r="L416" s="49"/>
      <c r="M416" s="238"/>
      <c r="N416" s="49"/>
      <c r="O416" s="218">
        <f>O418</f>
        <v>50000</v>
      </c>
      <c r="P416" s="224"/>
      <c r="Q416" s="224"/>
    </row>
    <row r="417" spans="1:17" s="56" customFormat="1" hidden="1" x14ac:dyDescent="0.3">
      <c r="A417" s="53"/>
      <c r="B417" s="54"/>
      <c r="C417" s="54"/>
      <c r="D417" s="54"/>
      <c r="E417" s="54"/>
      <c r="F417" s="55"/>
      <c r="G417" s="51"/>
      <c r="H417" s="63"/>
      <c r="I417" s="60"/>
      <c r="J417" s="48"/>
      <c r="K417" s="49"/>
      <c r="L417" s="49"/>
      <c r="M417" s="238"/>
      <c r="N417" s="49"/>
      <c r="O417" s="218"/>
      <c r="P417" s="224"/>
      <c r="Q417" s="224"/>
    </row>
    <row r="418" spans="1:17" s="56" customFormat="1" ht="31.2" x14ac:dyDescent="0.3">
      <c r="A418" s="53"/>
      <c r="B418" s="54"/>
      <c r="C418" s="54"/>
      <c r="D418" s="54"/>
      <c r="E418" s="54"/>
      <c r="F418" s="55"/>
      <c r="G418" s="51" t="s">
        <v>2</v>
      </c>
      <c r="H418" s="63"/>
      <c r="I418" s="60"/>
      <c r="J418" s="48">
        <v>200</v>
      </c>
      <c r="K418" s="49"/>
      <c r="L418" s="49"/>
      <c r="M418" s="238"/>
      <c r="N418" s="49"/>
      <c r="O418" s="218">
        <v>50000</v>
      </c>
      <c r="P418" s="224"/>
      <c r="Q418" s="224"/>
    </row>
    <row r="419" spans="1:17" s="56" customFormat="1" ht="33.75" customHeight="1" x14ac:dyDescent="0.3">
      <c r="A419" s="53"/>
      <c r="B419" s="54"/>
      <c r="C419" s="54"/>
      <c r="D419" s="54"/>
      <c r="E419" s="54"/>
      <c r="F419" s="55"/>
      <c r="G419" s="329" t="s">
        <v>670</v>
      </c>
      <c r="H419" s="114"/>
      <c r="I419" s="60" t="s">
        <v>221</v>
      </c>
      <c r="J419" s="118"/>
      <c r="K419" s="116">
        <f>K420</f>
        <v>73000</v>
      </c>
      <c r="L419" s="119"/>
      <c r="M419" s="235">
        <f t="shared" ref="M419:O420" si="27">M420</f>
        <v>79000</v>
      </c>
      <c r="N419" s="116">
        <f t="shared" si="27"/>
        <v>0</v>
      </c>
      <c r="O419" s="218">
        <f t="shared" si="27"/>
        <v>47000</v>
      </c>
      <c r="P419" s="224"/>
      <c r="Q419" s="224"/>
    </row>
    <row r="420" spans="1:17" s="56" customFormat="1" ht="46.8" x14ac:dyDescent="0.3">
      <c r="A420" s="53"/>
      <c r="B420" s="54"/>
      <c r="C420" s="54"/>
      <c r="D420" s="54"/>
      <c r="E420" s="54"/>
      <c r="F420" s="55"/>
      <c r="G420" s="330" t="s">
        <v>671</v>
      </c>
      <c r="H420" s="117"/>
      <c r="I420" s="47" t="s">
        <v>222</v>
      </c>
      <c r="J420" s="118"/>
      <c r="K420" s="119">
        <f>K421</f>
        <v>73000</v>
      </c>
      <c r="L420" s="119"/>
      <c r="M420" s="236">
        <f t="shared" si="27"/>
        <v>79000</v>
      </c>
      <c r="N420" s="119">
        <f t="shared" si="27"/>
        <v>0</v>
      </c>
      <c r="O420" s="218">
        <f t="shared" si="27"/>
        <v>47000</v>
      </c>
      <c r="P420" s="224"/>
      <c r="Q420" s="224"/>
    </row>
    <row r="421" spans="1:17" s="56" customFormat="1" ht="31.2" x14ac:dyDescent="0.3">
      <c r="A421" s="53"/>
      <c r="B421" s="54"/>
      <c r="C421" s="54"/>
      <c r="D421" s="54"/>
      <c r="E421" s="54"/>
      <c r="F421" s="55"/>
      <c r="G421" s="134" t="s">
        <v>224</v>
      </c>
      <c r="H421" s="134"/>
      <c r="I421" s="64" t="s">
        <v>223</v>
      </c>
      <c r="J421" s="132"/>
      <c r="K421" s="133">
        <f>K422+K426</f>
        <v>73000</v>
      </c>
      <c r="L421" s="133"/>
      <c r="M421" s="240">
        <f>M422+M426</f>
        <v>79000</v>
      </c>
      <c r="N421" s="119">
        <f>N422+N426</f>
        <v>0</v>
      </c>
      <c r="O421" s="218">
        <f>O422+O426</f>
        <v>47000</v>
      </c>
      <c r="P421" s="224"/>
      <c r="Q421" s="224"/>
    </row>
    <row r="422" spans="1:17" s="56" customFormat="1" ht="46.8" x14ac:dyDescent="0.3">
      <c r="A422" s="53"/>
      <c r="B422" s="54"/>
      <c r="C422" s="54"/>
      <c r="D422" s="54"/>
      <c r="E422" s="54"/>
      <c r="F422" s="55"/>
      <c r="G422" s="331" t="s">
        <v>672</v>
      </c>
      <c r="H422" s="131"/>
      <c r="I422" s="47" t="s">
        <v>225</v>
      </c>
      <c r="J422" s="132"/>
      <c r="K422" s="133">
        <f>K423+K424+K425</f>
        <v>73000</v>
      </c>
      <c r="L422" s="133"/>
      <c r="M422" s="240">
        <f>M423+M424+M425</f>
        <v>79000</v>
      </c>
      <c r="N422" s="119">
        <f>N423+N424+N425</f>
        <v>0</v>
      </c>
      <c r="O422" s="218">
        <f>O423+O424+O425</f>
        <v>47000</v>
      </c>
      <c r="P422" s="224"/>
      <c r="Q422" s="224"/>
    </row>
    <row r="423" spans="1:17" ht="31.2" x14ac:dyDescent="0.3">
      <c r="A423" s="4"/>
      <c r="B423" s="17"/>
      <c r="C423" s="17"/>
      <c r="D423" s="17"/>
      <c r="E423" s="17"/>
      <c r="F423" s="18"/>
      <c r="G423" s="117" t="s">
        <v>2</v>
      </c>
      <c r="H423" s="117"/>
      <c r="I423" s="118"/>
      <c r="J423" s="118">
        <v>200</v>
      </c>
      <c r="K423" s="119">
        <v>73000</v>
      </c>
      <c r="L423" s="119"/>
      <c r="M423" s="236">
        <v>79000</v>
      </c>
      <c r="N423" s="119"/>
      <c r="O423" s="218">
        <v>47000</v>
      </c>
      <c r="P423" s="224"/>
      <c r="Q423" s="224"/>
    </row>
    <row r="424" spans="1:17" ht="21.75" hidden="1" customHeight="1" x14ac:dyDescent="0.3">
      <c r="A424" s="4"/>
      <c r="B424" s="17"/>
      <c r="C424" s="17"/>
      <c r="D424" s="17"/>
      <c r="E424" s="17"/>
      <c r="F424" s="18"/>
      <c r="G424" s="117" t="s">
        <v>5</v>
      </c>
      <c r="H424" s="117"/>
      <c r="I424" s="118"/>
      <c r="J424" s="118">
        <v>300</v>
      </c>
      <c r="K424" s="119"/>
      <c r="L424" s="119"/>
      <c r="M424" s="236"/>
      <c r="N424" s="119"/>
      <c r="O424" s="218"/>
      <c r="P424" s="224"/>
      <c r="Q424" s="224"/>
    </row>
    <row r="425" spans="1:17" ht="42.75" hidden="1" customHeight="1" x14ac:dyDescent="0.3">
      <c r="A425" s="4"/>
      <c r="B425" s="17"/>
      <c r="C425" s="17"/>
      <c r="D425" s="17"/>
      <c r="E425" s="17"/>
      <c r="F425" s="18"/>
      <c r="G425" s="117" t="s">
        <v>4</v>
      </c>
      <c r="H425" s="117"/>
      <c r="I425" s="118"/>
      <c r="J425" s="118">
        <v>600</v>
      </c>
      <c r="K425" s="119">
        <v>0</v>
      </c>
      <c r="L425" s="119"/>
      <c r="M425" s="236">
        <v>0</v>
      </c>
      <c r="N425" s="119"/>
      <c r="O425" s="218"/>
      <c r="P425" s="224"/>
      <c r="Q425" s="224"/>
    </row>
    <row r="426" spans="1:17" ht="40.5" hidden="1" customHeight="1" x14ac:dyDescent="0.3">
      <c r="A426" s="4"/>
      <c r="B426" s="17"/>
      <c r="C426" s="17"/>
      <c r="D426" s="17"/>
      <c r="E426" s="17"/>
      <c r="F426" s="18"/>
      <c r="G426" s="117" t="s">
        <v>92</v>
      </c>
      <c r="H426" s="117"/>
      <c r="I426" s="47" t="s">
        <v>226</v>
      </c>
      <c r="J426" s="118"/>
      <c r="K426" s="119">
        <f>K427</f>
        <v>0</v>
      </c>
      <c r="L426" s="119"/>
      <c r="M426" s="236">
        <f>M427</f>
        <v>0</v>
      </c>
      <c r="N426" s="119"/>
      <c r="O426" s="218"/>
      <c r="P426" s="224"/>
      <c r="Q426" s="224"/>
    </row>
    <row r="427" spans="1:17" s="56" customFormat="1" ht="34.5" hidden="1" customHeight="1" x14ac:dyDescent="0.3">
      <c r="A427" s="53"/>
      <c r="B427" s="390" t="s">
        <v>19</v>
      </c>
      <c r="C427" s="390"/>
      <c r="D427" s="390"/>
      <c r="E427" s="390"/>
      <c r="F427" s="391"/>
      <c r="G427" s="117" t="s">
        <v>2</v>
      </c>
      <c r="H427" s="117"/>
      <c r="I427" s="118"/>
      <c r="J427" s="118">
        <v>200</v>
      </c>
      <c r="K427" s="119"/>
      <c r="L427" s="119"/>
      <c r="M427" s="236"/>
      <c r="N427" s="119"/>
      <c r="O427" s="218"/>
      <c r="P427" s="224"/>
      <c r="Q427" s="224"/>
    </row>
    <row r="428" spans="1:17" s="56" customFormat="1" ht="46.8" x14ac:dyDescent="0.3">
      <c r="A428" s="53"/>
      <c r="B428" s="73"/>
      <c r="C428" s="73"/>
      <c r="D428" s="73"/>
      <c r="E428" s="73"/>
      <c r="F428" s="74"/>
      <c r="G428" s="334" t="s">
        <v>694</v>
      </c>
      <c r="H428" s="65"/>
      <c r="I428" s="60" t="s">
        <v>281</v>
      </c>
      <c r="J428" s="122" t="s">
        <v>0</v>
      </c>
      <c r="K428" s="127">
        <f>K429</f>
        <v>9113</v>
      </c>
      <c r="L428" s="127"/>
      <c r="M428" s="239">
        <f t="shared" ref="M428:O431" si="28">M429</f>
        <v>14000</v>
      </c>
      <c r="N428" s="127">
        <f t="shared" si="28"/>
        <v>0</v>
      </c>
      <c r="O428" s="251">
        <f t="shared" si="28"/>
        <v>23719</v>
      </c>
      <c r="P428" s="224"/>
      <c r="Q428" s="224"/>
    </row>
    <row r="429" spans="1:17" s="56" customFormat="1" ht="46.8" x14ac:dyDescent="0.3">
      <c r="A429" s="53"/>
      <c r="B429" s="73"/>
      <c r="C429" s="73"/>
      <c r="D429" s="73"/>
      <c r="E429" s="73"/>
      <c r="F429" s="74"/>
      <c r="G429" s="330" t="s">
        <v>695</v>
      </c>
      <c r="H429" s="65"/>
      <c r="I429" s="47" t="s">
        <v>286</v>
      </c>
      <c r="J429" s="48" t="s">
        <v>0</v>
      </c>
      <c r="K429" s="49">
        <f>K430</f>
        <v>9113</v>
      </c>
      <c r="L429" s="49"/>
      <c r="M429" s="238">
        <f t="shared" si="28"/>
        <v>14000</v>
      </c>
      <c r="N429" s="49">
        <f t="shared" si="28"/>
        <v>0</v>
      </c>
      <c r="O429" s="218">
        <f t="shared" si="28"/>
        <v>23719</v>
      </c>
      <c r="P429" s="224"/>
      <c r="Q429" s="224"/>
    </row>
    <row r="430" spans="1:17" s="56" customFormat="1" ht="31.2" x14ac:dyDescent="0.3">
      <c r="A430" s="53"/>
      <c r="B430" s="384" t="s">
        <v>18</v>
      </c>
      <c r="C430" s="384"/>
      <c r="D430" s="384"/>
      <c r="E430" s="384"/>
      <c r="F430" s="385"/>
      <c r="G430" s="63" t="s">
        <v>291</v>
      </c>
      <c r="H430" s="63"/>
      <c r="I430" s="64" t="s">
        <v>290</v>
      </c>
      <c r="J430" s="48"/>
      <c r="K430" s="49">
        <f>K431</f>
        <v>9113</v>
      </c>
      <c r="L430" s="49"/>
      <c r="M430" s="238">
        <f t="shared" si="28"/>
        <v>14000</v>
      </c>
      <c r="N430" s="49">
        <f t="shared" si="28"/>
        <v>0</v>
      </c>
      <c r="O430" s="218">
        <f t="shared" si="28"/>
        <v>23719</v>
      </c>
      <c r="P430" s="224"/>
      <c r="Q430" s="224"/>
    </row>
    <row r="431" spans="1:17" s="87" customFormat="1" ht="46.8" x14ac:dyDescent="0.3">
      <c r="A431" s="84"/>
      <c r="B431" s="386">
        <v>200</v>
      </c>
      <c r="C431" s="386"/>
      <c r="D431" s="386"/>
      <c r="E431" s="386"/>
      <c r="F431" s="387"/>
      <c r="G431" s="117" t="s">
        <v>94</v>
      </c>
      <c r="H431" s="117"/>
      <c r="I431" s="47" t="s">
        <v>293</v>
      </c>
      <c r="J431" s="48" t="s">
        <v>0</v>
      </c>
      <c r="K431" s="49">
        <f>K432</f>
        <v>9113</v>
      </c>
      <c r="L431" s="49"/>
      <c r="M431" s="238">
        <f t="shared" si="28"/>
        <v>14000</v>
      </c>
      <c r="N431" s="49">
        <f t="shared" si="28"/>
        <v>0</v>
      </c>
      <c r="O431" s="218">
        <f t="shared" si="28"/>
        <v>23719</v>
      </c>
      <c r="P431" s="224"/>
      <c r="Q431" s="224"/>
    </row>
    <row r="432" spans="1:17" s="87" customFormat="1" x14ac:dyDescent="0.3">
      <c r="A432" s="84"/>
      <c r="B432" s="88"/>
      <c r="C432" s="88"/>
      <c r="D432" s="88"/>
      <c r="E432" s="88"/>
      <c r="F432" s="89"/>
      <c r="G432" s="51" t="s">
        <v>5</v>
      </c>
      <c r="H432" s="139"/>
      <c r="I432" s="137" t="s">
        <v>0</v>
      </c>
      <c r="J432" s="140">
        <v>300</v>
      </c>
      <c r="K432" s="141">
        <v>9113</v>
      </c>
      <c r="L432" s="141"/>
      <c r="M432" s="241">
        <v>14000</v>
      </c>
      <c r="N432" s="49"/>
      <c r="O432" s="218">
        <v>23719</v>
      </c>
      <c r="P432" s="224"/>
      <c r="Q432" s="224"/>
    </row>
    <row r="433" spans="1:17" x14ac:dyDescent="0.3">
      <c r="A433" s="4"/>
      <c r="B433" s="17"/>
      <c r="C433" s="17"/>
      <c r="D433" s="17"/>
      <c r="E433" s="17"/>
      <c r="F433" s="18"/>
      <c r="G433" s="114" t="s">
        <v>8</v>
      </c>
      <c r="H433" s="117"/>
      <c r="I433" s="60" t="s">
        <v>302</v>
      </c>
      <c r="J433" s="118"/>
      <c r="K433" s="116">
        <f>K434</f>
        <v>7194292</v>
      </c>
      <c r="L433" s="119"/>
      <c r="M433" s="235">
        <f>M434</f>
        <v>6686000</v>
      </c>
      <c r="N433" s="116">
        <f>N434</f>
        <v>0</v>
      </c>
      <c r="O433" s="218">
        <f>O434</f>
        <v>5549045</v>
      </c>
      <c r="P433" s="224"/>
      <c r="Q433" s="224"/>
    </row>
    <row r="434" spans="1:17" s="87" customFormat="1" ht="31.2" x14ac:dyDescent="0.3">
      <c r="A434" s="84"/>
      <c r="B434" s="402" t="s">
        <v>17</v>
      </c>
      <c r="C434" s="402"/>
      <c r="D434" s="402"/>
      <c r="E434" s="402"/>
      <c r="F434" s="394"/>
      <c r="G434" s="51" t="s">
        <v>75</v>
      </c>
      <c r="H434" s="51"/>
      <c r="I434" s="47" t="s">
        <v>317</v>
      </c>
      <c r="J434" s="48" t="s">
        <v>0</v>
      </c>
      <c r="K434" s="49">
        <f>K435+K436+K438</f>
        <v>7194292</v>
      </c>
      <c r="L434" s="49"/>
      <c r="M434" s="238">
        <f>M435+M436+M438</f>
        <v>6686000</v>
      </c>
      <c r="N434" s="49">
        <f>N435+N436+N438</f>
        <v>0</v>
      </c>
      <c r="O434" s="218">
        <f>O435+O436+O438+O437</f>
        <v>5549045</v>
      </c>
      <c r="P434" s="224"/>
      <c r="Q434" s="224"/>
    </row>
    <row r="435" spans="1:17" s="87" customFormat="1" ht="78" x14ac:dyDescent="0.3">
      <c r="A435" s="84"/>
      <c r="B435" s="90"/>
      <c r="C435" s="90"/>
      <c r="D435" s="90"/>
      <c r="E435" s="90"/>
      <c r="F435" s="91"/>
      <c r="G435" s="51" t="s">
        <v>3</v>
      </c>
      <c r="H435" s="51"/>
      <c r="I435" s="47" t="s">
        <v>76</v>
      </c>
      <c r="J435" s="48">
        <v>100</v>
      </c>
      <c r="K435" s="49">
        <v>5696705</v>
      </c>
      <c r="L435" s="49"/>
      <c r="M435" s="238">
        <v>5477600</v>
      </c>
      <c r="N435" s="49"/>
      <c r="O435" s="271">
        <f>4235953+502096+75509-170000</f>
        <v>4643558</v>
      </c>
      <c r="P435" s="224"/>
      <c r="Q435" s="224"/>
    </row>
    <row r="436" spans="1:17" s="87" customFormat="1" ht="31.2" x14ac:dyDescent="0.3">
      <c r="A436" s="84"/>
      <c r="B436" s="386" t="s">
        <v>16</v>
      </c>
      <c r="C436" s="386"/>
      <c r="D436" s="386"/>
      <c r="E436" s="386"/>
      <c r="F436" s="387"/>
      <c r="G436" s="51" t="s">
        <v>2</v>
      </c>
      <c r="H436" s="51"/>
      <c r="I436" s="47"/>
      <c r="J436" s="48">
        <v>200</v>
      </c>
      <c r="K436" s="49">
        <v>1496087</v>
      </c>
      <c r="L436" s="49"/>
      <c r="M436" s="238">
        <v>1206400</v>
      </c>
      <c r="N436" s="49"/>
      <c r="O436" s="271">
        <f>735142-1035</f>
        <v>734107</v>
      </c>
      <c r="P436" s="224"/>
      <c r="Q436" s="224"/>
    </row>
    <row r="437" spans="1:17" s="87" customFormat="1" x14ac:dyDescent="0.3">
      <c r="A437" s="84"/>
      <c r="B437" s="346"/>
      <c r="C437" s="346"/>
      <c r="D437" s="346"/>
      <c r="E437" s="346"/>
      <c r="F437" s="347"/>
      <c r="G437" s="51" t="s">
        <v>5</v>
      </c>
      <c r="H437" s="51"/>
      <c r="I437" s="47"/>
      <c r="J437" s="48">
        <v>300</v>
      </c>
      <c r="K437" s="49"/>
      <c r="L437" s="49"/>
      <c r="M437" s="238"/>
      <c r="N437" s="49"/>
      <c r="O437" s="271">
        <v>170000</v>
      </c>
      <c r="P437" s="224"/>
      <c r="Q437" s="224"/>
    </row>
    <row r="438" spans="1:17" s="87" customFormat="1" x14ac:dyDescent="0.3">
      <c r="A438" s="84"/>
      <c r="B438" s="94"/>
      <c r="C438" s="94"/>
      <c r="D438" s="94"/>
      <c r="E438" s="94"/>
      <c r="F438" s="95"/>
      <c r="G438" s="51" t="s">
        <v>1</v>
      </c>
      <c r="H438" s="51"/>
      <c r="I438" s="47"/>
      <c r="J438" s="48">
        <v>800</v>
      </c>
      <c r="K438" s="49">
        <v>1500</v>
      </c>
      <c r="L438" s="49"/>
      <c r="M438" s="238">
        <v>2000</v>
      </c>
      <c r="N438" s="49"/>
      <c r="O438" s="271">
        <f>345+1035</f>
        <v>1380</v>
      </c>
      <c r="P438" s="224"/>
      <c r="Q438" s="224"/>
    </row>
    <row r="439" spans="1:17" s="56" customFormat="1" ht="38.1" customHeight="1" x14ac:dyDescent="0.3">
      <c r="A439" s="53"/>
      <c r="B439" s="57"/>
      <c r="C439" s="57"/>
      <c r="D439" s="57"/>
      <c r="E439" s="57"/>
      <c r="F439" s="58"/>
      <c r="G439" s="114" t="s">
        <v>348</v>
      </c>
      <c r="H439" s="142">
        <v>807</v>
      </c>
      <c r="I439" s="118"/>
      <c r="J439" s="118"/>
      <c r="K439" s="116">
        <f>K455+K460+K483+K501+K515+K527+K536+K580+K607+K612+K637+K668+K440+K663+K598+K445+K557</f>
        <v>106217653</v>
      </c>
      <c r="L439" s="116">
        <f>L455+L460+L483+L501+L515+L527+L536+L580+L607+L612+L637+L668+L440+L663+L598+L445</f>
        <v>309969</v>
      </c>
      <c r="M439" s="235">
        <f>M455+M460+M483+M501+M515+M527+M536+M580+M607+M612+M637+M668+M440+M663+M598+M445</f>
        <v>81970931</v>
      </c>
      <c r="N439" s="116">
        <f>N455+N460+N483+N501+N515+N527+N536+N580+N607+N612+N637+N668+N440+N663+N598+N445+N557</f>
        <v>94450</v>
      </c>
      <c r="O439" s="251">
        <f>O455+O460+O483+O501+O515+O527+O536+O580+O607+O612+O637+O668+O440+O663+O598+O445+O557+O491+O543+O496+O550+O478</f>
        <v>146964751</v>
      </c>
      <c r="P439" s="265"/>
      <c r="Q439" s="265"/>
    </row>
    <row r="440" spans="1:17" ht="46.8" x14ac:dyDescent="0.3">
      <c r="A440" s="4"/>
      <c r="B440" s="367" t="s">
        <v>15</v>
      </c>
      <c r="C440" s="367"/>
      <c r="D440" s="367"/>
      <c r="E440" s="367"/>
      <c r="F440" s="368"/>
      <c r="G440" s="2" t="s">
        <v>692</v>
      </c>
      <c r="H440" s="121"/>
      <c r="I440" s="60" t="s">
        <v>194</v>
      </c>
      <c r="J440" s="48" t="s">
        <v>0</v>
      </c>
      <c r="K440" s="127">
        <f t="shared" ref="K440:O443" si="29">K441</f>
        <v>173000</v>
      </c>
      <c r="L440" s="49">
        <f t="shared" si="29"/>
        <v>0</v>
      </c>
      <c r="M440" s="239">
        <f t="shared" si="29"/>
        <v>173000</v>
      </c>
      <c r="N440" s="127">
        <f t="shared" si="29"/>
        <v>0</v>
      </c>
      <c r="O440" s="251">
        <f t="shared" si="29"/>
        <v>253000</v>
      </c>
      <c r="P440" s="265"/>
      <c r="Q440" s="265"/>
    </row>
    <row r="441" spans="1:17" ht="46.8" x14ac:dyDescent="0.3">
      <c r="A441" s="4"/>
      <c r="B441" s="353">
        <v>200</v>
      </c>
      <c r="C441" s="353"/>
      <c r="D441" s="353"/>
      <c r="E441" s="353"/>
      <c r="F441" s="354"/>
      <c r="G441" s="14" t="s">
        <v>696</v>
      </c>
      <c r="H441" s="121"/>
      <c r="I441" s="47" t="s">
        <v>211</v>
      </c>
      <c r="J441" s="48" t="s">
        <v>0</v>
      </c>
      <c r="K441" s="49">
        <f t="shared" si="29"/>
        <v>173000</v>
      </c>
      <c r="L441" s="49">
        <f t="shared" si="29"/>
        <v>0</v>
      </c>
      <c r="M441" s="238">
        <f t="shared" si="29"/>
        <v>173000</v>
      </c>
      <c r="N441" s="49">
        <f t="shared" si="29"/>
        <v>0</v>
      </c>
      <c r="O441" s="218">
        <f t="shared" si="29"/>
        <v>253000</v>
      </c>
      <c r="P441" s="224"/>
      <c r="Q441" s="224"/>
    </row>
    <row r="442" spans="1:17" ht="31.2" x14ac:dyDescent="0.3">
      <c r="A442" s="4"/>
      <c r="B442" s="392" t="s">
        <v>14</v>
      </c>
      <c r="C442" s="392"/>
      <c r="D442" s="392"/>
      <c r="E442" s="392"/>
      <c r="F442" s="393"/>
      <c r="G442" s="63" t="s">
        <v>370</v>
      </c>
      <c r="H442" s="63"/>
      <c r="I442" s="64" t="s">
        <v>212</v>
      </c>
      <c r="J442" s="48"/>
      <c r="K442" s="49">
        <f t="shared" si="29"/>
        <v>173000</v>
      </c>
      <c r="L442" s="49">
        <f t="shared" si="29"/>
        <v>0</v>
      </c>
      <c r="M442" s="238">
        <f t="shared" si="29"/>
        <v>173000</v>
      </c>
      <c r="N442" s="49">
        <f t="shared" si="29"/>
        <v>0</v>
      </c>
      <c r="O442" s="218">
        <f t="shared" si="29"/>
        <v>253000</v>
      </c>
      <c r="P442" s="224"/>
      <c r="Q442" s="224"/>
    </row>
    <row r="443" spans="1:17" ht="62.4" x14ac:dyDescent="0.3">
      <c r="A443" s="4"/>
      <c r="B443" s="360" t="s">
        <v>13</v>
      </c>
      <c r="C443" s="360"/>
      <c r="D443" s="360"/>
      <c r="E443" s="360"/>
      <c r="F443" s="361"/>
      <c r="G443" s="335" t="s">
        <v>697</v>
      </c>
      <c r="H443" s="66"/>
      <c r="I443" s="47" t="s">
        <v>213</v>
      </c>
      <c r="J443" s="48"/>
      <c r="K443" s="49">
        <f t="shared" si="29"/>
        <v>173000</v>
      </c>
      <c r="L443" s="49">
        <f t="shared" si="29"/>
        <v>0</v>
      </c>
      <c r="M443" s="238">
        <f t="shared" si="29"/>
        <v>173000</v>
      </c>
      <c r="N443" s="49">
        <f t="shared" si="29"/>
        <v>0</v>
      </c>
      <c r="O443" s="218">
        <f t="shared" si="29"/>
        <v>253000</v>
      </c>
      <c r="P443" s="224"/>
      <c r="Q443" s="224"/>
    </row>
    <row r="444" spans="1:17" ht="31.2" x14ac:dyDescent="0.3">
      <c r="A444" s="4"/>
      <c r="B444" s="12"/>
      <c r="C444" s="12"/>
      <c r="D444" s="12"/>
      <c r="E444" s="12"/>
      <c r="F444" s="13"/>
      <c r="G444" s="51" t="s">
        <v>4</v>
      </c>
      <c r="H444" s="51"/>
      <c r="I444" s="79"/>
      <c r="J444" s="48">
        <v>600</v>
      </c>
      <c r="K444" s="49">
        <v>173000</v>
      </c>
      <c r="L444" s="49"/>
      <c r="M444" s="238">
        <f>L444+K444</f>
        <v>173000</v>
      </c>
      <c r="N444" s="49"/>
      <c r="O444" s="218">
        <v>253000</v>
      </c>
      <c r="P444" s="224"/>
      <c r="Q444" s="224"/>
    </row>
    <row r="445" spans="1:17" ht="78" x14ac:dyDescent="0.3">
      <c r="A445" s="4"/>
      <c r="B445" s="12"/>
      <c r="C445" s="12"/>
      <c r="D445" s="12"/>
      <c r="E445" s="12"/>
      <c r="F445" s="13"/>
      <c r="G445" s="336" t="s">
        <v>698</v>
      </c>
      <c r="H445" s="51"/>
      <c r="I445" s="60" t="s">
        <v>441</v>
      </c>
      <c r="J445" s="48"/>
      <c r="K445" s="127">
        <f t="shared" ref="K445:O448" si="30">K446</f>
        <v>637500</v>
      </c>
      <c r="L445" s="127">
        <f t="shared" si="30"/>
        <v>0</v>
      </c>
      <c r="M445" s="239">
        <f t="shared" si="30"/>
        <v>637500</v>
      </c>
      <c r="N445" s="127">
        <f t="shared" si="30"/>
        <v>0</v>
      </c>
      <c r="O445" s="251">
        <f t="shared" si="30"/>
        <v>4526500</v>
      </c>
      <c r="P445" s="224"/>
      <c r="Q445" s="224"/>
    </row>
    <row r="446" spans="1:17" ht="93.6" x14ac:dyDescent="0.3">
      <c r="A446" s="4"/>
      <c r="B446" s="12"/>
      <c r="C446" s="12"/>
      <c r="D446" s="12"/>
      <c r="E446" s="12"/>
      <c r="F446" s="13"/>
      <c r="G446" s="337" t="s">
        <v>699</v>
      </c>
      <c r="H446" s="51"/>
      <c r="I446" s="47" t="s">
        <v>442</v>
      </c>
      <c r="J446" s="48"/>
      <c r="K446" s="49">
        <f>K447+K450</f>
        <v>637500</v>
      </c>
      <c r="L446" s="49">
        <f>L447+L450</f>
        <v>0</v>
      </c>
      <c r="M446" s="238">
        <f>M447+M450</f>
        <v>637500</v>
      </c>
      <c r="N446" s="49">
        <f>N447+N450</f>
        <v>0</v>
      </c>
      <c r="O446" s="218">
        <f>O447+O450</f>
        <v>4526500</v>
      </c>
      <c r="P446" s="224"/>
      <c r="Q446" s="224"/>
    </row>
    <row r="447" spans="1:17" ht="93.6" x14ac:dyDescent="0.3">
      <c r="A447" s="4"/>
      <c r="B447" s="12"/>
      <c r="C447" s="12"/>
      <c r="D447" s="12"/>
      <c r="E447" s="12"/>
      <c r="F447" s="13"/>
      <c r="G447" s="147" t="s">
        <v>628</v>
      </c>
      <c r="H447" s="51"/>
      <c r="I447" s="64" t="s">
        <v>443</v>
      </c>
      <c r="J447" s="48"/>
      <c r="K447" s="174">
        <f t="shared" si="30"/>
        <v>0</v>
      </c>
      <c r="L447" s="174">
        <f t="shared" si="30"/>
        <v>0</v>
      </c>
      <c r="M447" s="242">
        <f t="shared" si="30"/>
        <v>0</v>
      </c>
      <c r="N447" s="174">
        <f t="shared" si="30"/>
        <v>0</v>
      </c>
      <c r="O447" s="218">
        <f t="shared" si="30"/>
        <v>4040000</v>
      </c>
      <c r="P447" s="224"/>
      <c r="Q447" s="224"/>
    </row>
    <row r="448" spans="1:17" ht="109.2" x14ac:dyDescent="0.3">
      <c r="A448" s="4"/>
      <c r="B448" s="12"/>
      <c r="C448" s="12"/>
      <c r="D448" s="12"/>
      <c r="E448" s="12"/>
      <c r="F448" s="13"/>
      <c r="G448" s="337" t="s">
        <v>700</v>
      </c>
      <c r="H448" s="51"/>
      <c r="I448" s="47" t="s">
        <v>566</v>
      </c>
      <c r="J448" s="48"/>
      <c r="K448" s="49">
        <f t="shared" si="30"/>
        <v>0</v>
      </c>
      <c r="L448" s="49">
        <f t="shared" si="30"/>
        <v>0</v>
      </c>
      <c r="M448" s="238">
        <f t="shared" si="30"/>
        <v>0</v>
      </c>
      <c r="N448" s="49">
        <f t="shared" si="30"/>
        <v>0</v>
      </c>
      <c r="O448" s="218">
        <f t="shared" si="30"/>
        <v>4040000</v>
      </c>
      <c r="P448" s="224"/>
      <c r="Q448" s="224"/>
    </row>
    <row r="449" spans="1:17" ht="31.2" x14ac:dyDescent="0.3">
      <c r="A449" s="4"/>
      <c r="B449" s="12"/>
      <c r="C449" s="12"/>
      <c r="D449" s="12"/>
      <c r="E449" s="12"/>
      <c r="F449" s="13"/>
      <c r="G449" s="117" t="s">
        <v>2</v>
      </c>
      <c r="H449" s="51"/>
      <c r="I449" s="79"/>
      <c r="J449" s="48">
        <v>200</v>
      </c>
      <c r="K449" s="49"/>
      <c r="L449" s="49"/>
      <c r="M449" s="238">
        <f>K449+L449</f>
        <v>0</v>
      </c>
      <c r="N449" s="49"/>
      <c r="O449" s="218">
        <f>1090000+2950000</f>
        <v>4040000</v>
      </c>
      <c r="P449" s="224"/>
      <c r="Q449" s="224"/>
    </row>
    <row r="450" spans="1:17" ht="46.8" x14ac:dyDescent="0.3">
      <c r="A450" s="4"/>
      <c r="B450" s="12"/>
      <c r="C450" s="12"/>
      <c r="D450" s="12"/>
      <c r="E450" s="12"/>
      <c r="F450" s="13"/>
      <c r="G450" s="120" t="s">
        <v>490</v>
      </c>
      <c r="H450" s="199"/>
      <c r="I450" s="64" t="s">
        <v>491</v>
      </c>
      <c r="J450" s="145"/>
      <c r="K450" s="174">
        <f>K451+K453</f>
        <v>637500</v>
      </c>
      <c r="L450" s="174">
        <f>L451+L453</f>
        <v>0</v>
      </c>
      <c r="M450" s="242">
        <f>M451+M453</f>
        <v>637500</v>
      </c>
      <c r="N450" s="174">
        <f>N451+N453</f>
        <v>0</v>
      </c>
      <c r="O450" s="218">
        <f>O451+O453</f>
        <v>486500</v>
      </c>
      <c r="P450" s="224"/>
      <c r="Q450" s="224"/>
    </row>
    <row r="451" spans="1:17" ht="46.8" x14ac:dyDescent="0.3">
      <c r="A451" s="4"/>
      <c r="B451" s="12"/>
      <c r="C451" s="12"/>
      <c r="D451" s="12"/>
      <c r="E451" s="12"/>
      <c r="F451" s="13"/>
      <c r="G451" s="117" t="s">
        <v>568</v>
      </c>
      <c r="H451" s="199"/>
      <c r="I451" s="47" t="s">
        <v>567</v>
      </c>
      <c r="J451" s="145"/>
      <c r="K451" s="49">
        <f>K452</f>
        <v>637500</v>
      </c>
      <c r="L451" s="49">
        <f>L452</f>
        <v>0</v>
      </c>
      <c r="M451" s="238">
        <f>M452</f>
        <v>637500</v>
      </c>
      <c r="N451" s="49">
        <f>N452</f>
        <v>0</v>
      </c>
      <c r="O451" s="218">
        <f>O452</f>
        <v>486500</v>
      </c>
      <c r="P451" s="224"/>
      <c r="Q451" s="224"/>
    </row>
    <row r="452" spans="1:17" ht="31.2" x14ac:dyDescent="0.3">
      <c r="A452" s="4"/>
      <c r="B452" s="12"/>
      <c r="C452" s="12"/>
      <c r="D452" s="12"/>
      <c r="E452" s="12"/>
      <c r="F452" s="13"/>
      <c r="G452" s="117" t="s">
        <v>2</v>
      </c>
      <c r="H452" s="199"/>
      <c r="I452" s="144"/>
      <c r="J452" s="145">
        <v>200</v>
      </c>
      <c r="K452" s="49">
        <v>637500</v>
      </c>
      <c r="L452" s="49">
        <v>0</v>
      </c>
      <c r="M452" s="238">
        <f>K452+L452</f>
        <v>637500</v>
      </c>
      <c r="N452" s="49"/>
      <c r="O452" s="218">
        <f>200000+286500</f>
        <v>486500</v>
      </c>
      <c r="P452" s="224"/>
      <c r="Q452" s="224"/>
    </row>
    <row r="453" spans="1:17" ht="66" hidden="1" customHeight="1" x14ac:dyDescent="0.3">
      <c r="A453" s="4"/>
      <c r="B453" s="12"/>
      <c r="C453" s="12"/>
      <c r="D453" s="12"/>
      <c r="E453" s="12"/>
      <c r="F453" s="13"/>
      <c r="G453" s="117" t="s">
        <v>492</v>
      </c>
      <c r="H453" s="199"/>
      <c r="I453" s="144" t="s">
        <v>493</v>
      </c>
      <c r="J453" s="145"/>
      <c r="K453" s="49">
        <f>K454</f>
        <v>0</v>
      </c>
      <c r="L453" s="49">
        <f>L454</f>
        <v>0</v>
      </c>
      <c r="M453" s="238">
        <f>M454</f>
        <v>0</v>
      </c>
      <c r="N453" s="49"/>
      <c r="O453" s="218"/>
      <c r="P453" s="224"/>
      <c r="Q453" s="224"/>
    </row>
    <row r="454" spans="1:17" ht="35.1" hidden="1" customHeight="1" x14ac:dyDescent="0.3">
      <c r="A454" s="4"/>
      <c r="B454" s="12"/>
      <c r="C454" s="12"/>
      <c r="D454" s="12"/>
      <c r="E454" s="12"/>
      <c r="F454" s="13"/>
      <c r="G454" s="117" t="s">
        <v>2</v>
      </c>
      <c r="H454" s="199"/>
      <c r="I454" s="144"/>
      <c r="J454" s="145">
        <v>200</v>
      </c>
      <c r="K454" s="49"/>
      <c r="L454" s="49"/>
      <c r="M454" s="238">
        <f>K454+L454</f>
        <v>0</v>
      </c>
      <c r="N454" s="49"/>
      <c r="O454" s="218"/>
      <c r="P454" s="224"/>
      <c r="Q454" s="224"/>
    </row>
    <row r="455" spans="1:17" ht="31.2" x14ac:dyDescent="0.3">
      <c r="A455" s="4"/>
      <c r="B455" s="367" t="s">
        <v>12</v>
      </c>
      <c r="C455" s="367"/>
      <c r="D455" s="367"/>
      <c r="E455" s="367"/>
      <c r="F455" s="368"/>
      <c r="G455" s="329" t="s">
        <v>670</v>
      </c>
      <c r="H455" s="114"/>
      <c r="I455" s="60" t="s">
        <v>221</v>
      </c>
      <c r="J455" s="118"/>
      <c r="K455" s="119">
        <f>K456</f>
        <v>28500</v>
      </c>
      <c r="L455" s="119"/>
      <c r="M455" s="236">
        <f t="shared" ref="M455:O458" si="31">M456</f>
        <v>28500</v>
      </c>
      <c r="N455" s="119">
        <f t="shared" si="31"/>
        <v>0</v>
      </c>
      <c r="O455" s="218">
        <f t="shared" si="31"/>
        <v>30000</v>
      </c>
      <c r="P455" s="224"/>
      <c r="Q455" s="224"/>
    </row>
    <row r="456" spans="1:17" ht="46.8" x14ac:dyDescent="0.3">
      <c r="A456" s="4"/>
      <c r="B456" s="367">
        <v>200</v>
      </c>
      <c r="C456" s="367"/>
      <c r="D456" s="367"/>
      <c r="E456" s="367"/>
      <c r="F456" s="368"/>
      <c r="G456" s="330" t="s">
        <v>671</v>
      </c>
      <c r="H456" s="117"/>
      <c r="I456" s="47" t="s">
        <v>222</v>
      </c>
      <c r="J456" s="118"/>
      <c r="K456" s="119">
        <f>K457</f>
        <v>28500</v>
      </c>
      <c r="L456" s="119"/>
      <c r="M456" s="236">
        <f t="shared" si="31"/>
        <v>28500</v>
      </c>
      <c r="N456" s="119">
        <f t="shared" si="31"/>
        <v>0</v>
      </c>
      <c r="O456" s="218">
        <f t="shared" si="31"/>
        <v>30000</v>
      </c>
      <c r="P456" s="224"/>
      <c r="Q456" s="224"/>
    </row>
    <row r="457" spans="1:17" ht="31.2" x14ac:dyDescent="0.3">
      <c r="A457" s="4"/>
      <c r="B457" s="358" t="s">
        <v>11</v>
      </c>
      <c r="C457" s="358"/>
      <c r="D457" s="358"/>
      <c r="E457" s="358"/>
      <c r="F457" s="359"/>
      <c r="G457" s="134" t="s">
        <v>224</v>
      </c>
      <c r="H457" s="134"/>
      <c r="I457" s="64" t="s">
        <v>223</v>
      </c>
      <c r="J457" s="132"/>
      <c r="K457" s="133">
        <f>K458</f>
        <v>28500</v>
      </c>
      <c r="L457" s="133"/>
      <c r="M457" s="240">
        <f t="shared" si="31"/>
        <v>28500</v>
      </c>
      <c r="N457" s="119">
        <f t="shared" si="31"/>
        <v>0</v>
      </c>
      <c r="O457" s="218">
        <f t="shared" si="31"/>
        <v>30000</v>
      </c>
      <c r="P457" s="224"/>
      <c r="Q457" s="224"/>
    </row>
    <row r="458" spans="1:17" ht="46.8" x14ac:dyDescent="0.3">
      <c r="A458" s="4"/>
      <c r="B458" s="17"/>
      <c r="C458" s="17"/>
      <c r="D458" s="17"/>
      <c r="E458" s="17"/>
      <c r="F458" s="18"/>
      <c r="G458" s="331" t="s">
        <v>672</v>
      </c>
      <c r="H458" s="131"/>
      <c r="I458" s="47" t="s">
        <v>225</v>
      </c>
      <c r="J458" s="132"/>
      <c r="K458" s="133">
        <f>K459</f>
        <v>28500</v>
      </c>
      <c r="L458" s="133"/>
      <c r="M458" s="240">
        <f t="shared" si="31"/>
        <v>28500</v>
      </c>
      <c r="N458" s="119">
        <f t="shared" si="31"/>
        <v>0</v>
      </c>
      <c r="O458" s="218">
        <f t="shared" si="31"/>
        <v>30000</v>
      </c>
      <c r="P458" s="224"/>
      <c r="Q458" s="224"/>
    </row>
    <row r="459" spans="1:17" ht="31.2" x14ac:dyDescent="0.3">
      <c r="A459" s="4"/>
      <c r="B459" s="17"/>
      <c r="C459" s="17"/>
      <c r="D459" s="17"/>
      <c r="E459" s="17"/>
      <c r="F459" s="18"/>
      <c r="G459" s="117" t="s">
        <v>2</v>
      </c>
      <c r="H459" s="117"/>
      <c r="I459" s="118"/>
      <c r="J459" s="118">
        <v>200</v>
      </c>
      <c r="K459" s="119">
        <v>28500</v>
      </c>
      <c r="L459" s="119"/>
      <c r="M459" s="236">
        <v>28500</v>
      </c>
      <c r="N459" s="119"/>
      <c r="O459" s="218">
        <v>30000</v>
      </c>
      <c r="P459" s="224"/>
      <c r="Q459" s="224"/>
    </row>
    <row r="460" spans="1:17" ht="78" x14ac:dyDescent="0.3">
      <c r="A460" s="4"/>
      <c r="B460" s="17"/>
      <c r="C460" s="17"/>
      <c r="D460" s="17"/>
      <c r="E460" s="17"/>
      <c r="F460" s="18"/>
      <c r="G460" s="332" t="s">
        <v>673</v>
      </c>
      <c r="H460" s="59"/>
      <c r="I460" s="60" t="s">
        <v>227</v>
      </c>
      <c r="J460" s="61" t="s">
        <v>0</v>
      </c>
      <c r="K460" s="62">
        <f>K461+K466+K470+K474</f>
        <v>114000</v>
      </c>
      <c r="L460" s="62"/>
      <c r="M460" s="237">
        <f>M461+M466</f>
        <v>56000</v>
      </c>
      <c r="N460" s="127">
        <f>N461+N466+N470+N474</f>
        <v>0</v>
      </c>
      <c r="O460" s="218">
        <f>O461+O466+O470+O474</f>
        <v>111000</v>
      </c>
      <c r="P460" s="224"/>
      <c r="Q460" s="224"/>
    </row>
    <row r="461" spans="1:17" ht="46.8" x14ac:dyDescent="0.3">
      <c r="A461" s="4"/>
      <c r="B461" s="17"/>
      <c r="C461" s="17"/>
      <c r="D461" s="17"/>
      <c r="E461" s="17"/>
      <c r="F461" s="18"/>
      <c r="G461" s="2" t="s">
        <v>701</v>
      </c>
      <c r="H461" s="121"/>
      <c r="I461" s="47" t="s">
        <v>228</v>
      </c>
      <c r="J461" s="48" t="s">
        <v>0</v>
      </c>
      <c r="K461" s="49">
        <f>K462</f>
        <v>75000</v>
      </c>
      <c r="L461" s="49"/>
      <c r="M461" s="238">
        <f t="shared" ref="M461:O462" si="32">M462</f>
        <v>46000</v>
      </c>
      <c r="N461" s="49">
        <f t="shared" si="32"/>
        <v>0</v>
      </c>
      <c r="O461" s="218">
        <f t="shared" si="32"/>
        <v>20000</v>
      </c>
      <c r="P461" s="224"/>
      <c r="Q461" s="224"/>
    </row>
    <row r="462" spans="1:17" ht="62.4" x14ac:dyDescent="0.3">
      <c r="A462" s="4"/>
      <c r="B462" s="17"/>
      <c r="C462" s="17"/>
      <c r="D462" s="17"/>
      <c r="E462" s="17"/>
      <c r="F462" s="18"/>
      <c r="G462" s="63" t="s">
        <v>629</v>
      </c>
      <c r="H462" s="63"/>
      <c r="I462" s="64" t="s">
        <v>229</v>
      </c>
      <c r="J462" s="48"/>
      <c r="K462" s="49">
        <f>K463</f>
        <v>75000</v>
      </c>
      <c r="L462" s="49"/>
      <c r="M462" s="238">
        <f t="shared" si="32"/>
        <v>46000</v>
      </c>
      <c r="N462" s="49">
        <f t="shared" si="32"/>
        <v>0</v>
      </c>
      <c r="O462" s="218">
        <f t="shared" si="32"/>
        <v>20000</v>
      </c>
      <c r="P462" s="224"/>
      <c r="Q462" s="224"/>
    </row>
    <row r="463" spans="1:17" ht="46.8" x14ac:dyDescent="0.3">
      <c r="A463" s="4"/>
      <c r="B463" s="17"/>
      <c r="C463" s="17"/>
      <c r="D463" s="17"/>
      <c r="E463" s="17"/>
      <c r="F463" s="18"/>
      <c r="G463" s="51" t="s">
        <v>353</v>
      </c>
      <c r="H463" s="51"/>
      <c r="I463" s="47" t="s">
        <v>231</v>
      </c>
      <c r="J463" s="48"/>
      <c r="K463" s="49">
        <f>K464+K465</f>
        <v>75000</v>
      </c>
      <c r="L463" s="49"/>
      <c r="M463" s="238">
        <f>M464+M465</f>
        <v>46000</v>
      </c>
      <c r="N463" s="49">
        <f>N464+N465</f>
        <v>0</v>
      </c>
      <c r="O463" s="218">
        <f>O464+O465</f>
        <v>20000</v>
      </c>
      <c r="P463" s="224"/>
      <c r="Q463" s="224"/>
    </row>
    <row r="464" spans="1:17" ht="31.2" x14ac:dyDescent="0.3">
      <c r="A464" s="4"/>
      <c r="B464" s="17"/>
      <c r="C464" s="17"/>
      <c r="D464" s="17"/>
      <c r="E464" s="17"/>
      <c r="F464" s="18"/>
      <c r="G464" s="51" t="s">
        <v>2</v>
      </c>
      <c r="H464" s="51"/>
      <c r="I464" s="79"/>
      <c r="J464" s="48">
        <v>200</v>
      </c>
      <c r="K464" s="49">
        <v>75000</v>
      </c>
      <c r="L464" s="49"/>
      <c r="M464" s="238">
        <v>46000</v>
      </c>
      <c r="N464" s="49"/>
      <c r="O464" s="218">
        <f>10000+10000</f>
        <v>20000</v>
      </c>
      <c r="P464" s="224"/>
      <c r="Q464" s="224"/>
    </row>
    <row r="465" spans="1:17" ht="31.2" hidden="1" x14ac:dyDescent="0.3">
      <c r="A465" s="4"/>
      <c r="B465" s="19"/>
      <c r="C465" s="19"/>
      <c r="D465" s="19"/>
      <c r="E465" s="19"/>
      <c r="F465" s="20"/>
      <c r="G465" s="51" t="s">
        <v>4</v>
      </c>
      <c r="H465" s="51"/>
      <c r="I465" s="79"/>
      <c r="J465" s="48">
        <v>600</v>
      </c>
      <c r="K465" s="49">
        <v>0</v>
      </c>
      <c r="L465" s="49"/>
      <c r="M465" s="238">
        <v>0</v>
      </c>
      <c r="N465" s="49"/>
      <c r="O465" s="218"/>
      <c r="P465" s="224"/>
      <c r="Q465" s="224"/>
    </row>
    <row r="466" spans="1:17" ht="62.4" x14ac:dyDescent="0.3">
      <c r="A466" s="4"/>
      <c r="B466" s="19"/>
      <c r="C466" s="19"/>
      <c r="D466" s="19"/>
      <c r="E466" s="19"/>
      <c r="F466" s="20"/>
      <c r="G466" s="14" t="s">
        <v>674</v>
      </c>
      <c r="H466" s="51"/>
      <c r="I466" s="47" t="s">
        <v>352</v>
      </c>
      <c r="J466" s="48"/>
      <c r="K466" s="49">
        <f>K467</f>
        <v>10000</v>
      </c>
      <c r="L466" s="49"/>
      <c r="M466" s="238">
        <f t="shared" ref="M466:O468" si="33">M467</f>
        <v>10000</v>
      </c>
      <c r="N466" s="49">
        <f t="shared" si="33"/>
        <v>0</v>
      </c>
      <c r="O466" s="218">
        <f t="shared" si="33"/>
        <v>62000</v>
      </c>
      <c r="P466" s="224"/>
      <c r="Q466" s="224"/>
    </row>
    <row r="467" spans="1:17" ht="46.8" x14ac:dyDescent="0.3">
      <c r="A467" s="4"/>
      <c r="B467" s="19"/>
      <c r="C467" s="19"/>
      <c r="D467" s="19"/>
      <c r="E467" s="19"/>
      <c r="F467" s="20"/>
      <c r="G467" s="63" t="s">
        <v>230</v>
      </c>
      <c r="H467" s="51"/>
      <c r="I467" s="64" t="s">
        <v>354</v>
      </c>
      <c r="J467" s="48"/>
      <c r="K467" s="49">
        <f>K468</f>
        <v>10000</v>
      </c>
      <c r="L467" s="49"/>
      <c r="M467" s="238">
        <f t="shared" si="33"/>
        <v>10000</v>
      </c>
      <c r="N467" s="49">
        <f t="shared" si="33"/>
        <v>0</v>
      </c>
      <c r="O467" s="218">
        <f t="shared" si="33"/>
        <v>62000</v>
      </c>
      <c r="P467" s="224"/>
      <c r="Q467" s="224"/>
    </row>
    <row r="468" spans="1:17" ht="62.4" x14ac:dyDescent="0.3">
      <c r="A468" s="4"/>
      <c r="B468" s="19"/>
      <c r="C468" s="19"/>
      <c r="D468" s="19"/>
      <c r="E468" s="19"/>
      <c r="F468" s="20"/>
      <c r="G468" s="14" t="s">
        <v>675</v>
      </c>
      <c r="H468" s="51"/>
      <c r="I468" s="47" t="s">
        <v>355</v>
      </c>
      <c r="J468" s="48"/>
      <c r="K468" s="49">
        <f>K469</f>
        <v>10000</v>
      </c>
      <c r="L468" s="49"/>
      <c r="M468" s="238">
        <f t="shared" si="33"/>
        <v>10000</v>
      </c>
      <c r="N468" s="49">
        <f t="shared" si="33"/>
        <v>0</v>
      </c>
      <c r="O468" s="218">
        <f t="shared" si="33"/>
        <v>62000</v>
      </c>
      <c r="P468" s="224"/>
      <c r="Q468" s="224"/>
    </row>
    <row r="469" spans="1:17" ht="31.2" x14ac:dyDescent="0.3">
      <c r="A469" s="4"/>
      <c r="B469" s="19"/>
      <c r="C469" s="19"/>
      <c r="D469" s="19"/>
      <c r="E469" s="19"/>
      <c r="F469" s="20"/>
      <c r="G469" s="51" t="s">
        <v>2</v>
      </c>
      <c r="H469" s="51"/>
      <c r="I469" s="79"/>
      <c r="J469" s="48">
        <v>200</v>
      </c>
      <c r="K469" s="49">
        <v>10000</v>
      </c>
      <c r="L469" s="49"/>
      <c r="M469" s="238">
        <v>10000</v>
      </c>
      <c r="N469" s="49"/>
      <c r="O469" s="218">
        <f>47000+15000</f>
        <v>62000</v>
      </c>
      <c r="P469" s="224"/>
      <c r="Q469" s="224"/>
    </row>
    <row r="470" spans="1:17" ht="46.8" x14ac:dyDescent="0.3">
      <c r="A470" s="4"/>
      <c r="B470" s="19"/>
      <c r="C470" s="19"/>
      <c r="D470" s="19"/>
      <c r="E470" s="19"/>
      <c r="F470" s="20"/>
      <c r="G470" s="2" t="s">
        <v>702</v>
      </c>
      <c r="H470" s="51"/>
      <c r="I470" s="60" t="s">
        <v>232</v>
      </c>
      <c r="J470" s="48"/>
      <c r="K470" s="49">
        <f>K471</f>
        <v>19000</v>
      </c>
      <c r="L470" s="49"/>
      <c r="M470" s="238"/>
      <c r="N470" s="49">
        <f t="shared" ref="N470:O472" si="34">N471</f>
        <v>0</v>
      </c>
      <c r="O470" s="218">
        <f t="shared" si="34"/>
        <v>19000</v>
      </c>
      <c r="P470" s="224"/>
      <c r="Q470" s="224"/>
    </row>
    <row r="471" spans="1:17" ht="31.2" x14ac:dyDescent="0.3">
      <c r="A471" s="4"/>
      <c r="B471" s="19"/>
      <c r="C471" s="19"/>
      <c r="D471" s="19"/>
      <c r="E471" s="19"/>
      <c r="F471" s="20"/>
      <c r="G471" s="63" t="s">
        <v>634</v>
      </c>
      <c r="H471" s="51"/>
      <c r="I471" s="64" t="s">
        <v>630</v>
      </c>
      <c r="J471" s="48"/>
      <c r="K471" s="49">
        <f>K472</f>
        <v>19000</v>
      </c>
      <c r="L471" s="49"/>
      <c r="M471" s="238"/>
      <c r="N471" s="49">
        <f t="shared" si="34"/>
        <v>0</v>
      </c>
      <c r="O471" s="218">
        <f t="shared" si="34"/>
        <v>19000</v>
      </c>
      <c r="P471" s="224"/>
      <c r="Q471" s="224"/>
    </row>
    <row r="472" spans="1:17" ht="31.2" x14ac:dyDescent="0.3">
      <c r="A472" s="4"/>
      <c r="B472" s="19"/>
      <c r="C472" s="19"/>
      <c r="D472" s="19"/>
      <c r="E472" s="19"/>
      <c r="F472" s="20"/>
      <c r="G472" s="51" t="s">
        <v>557</v>
      </c>
      <c r="H472" s="51"/>
      <c r="I472" s="47" t="s">
        <v>631</v>
      </c>
      <c r="J472" s="48"/>
      <c r="K472" s="49">
        <f>K473</f>
        <v>19000</v>
      </c>
      <c r="L472" s="49"/>
      <c r="M472" s="238"/>
      <c r="N472" s="49">
        <f t="shared" si="34"/>
        <v>0</v>
      </c>
      <c r="O472" s="218">
        <f t="shared" si="34"/>
        <v>19000</v>
      </c>
      <c r="P472" s="224"/>
      <c r="Q472" s="224"/>
    </row>
    <row r="473" spans="1:17" ht="31.2" x14ac:dyDescent="0.3">
      <c r="A473" s="4"/>
      <c r="B473" s="19"/>
      <c r="C473" s="19"/>
      <c r="D473" s="19"/>
      <c r="E473" s="19"/>
      <c r="F473" s="20"/>
      <c r="G473" s="51" t="s">
        <v>2</v>
      </c>
      <c r="H473" s="51"/>
      <c r="I473" s="79"/>
      <c r="J473" s="48">
        <v>200</v>
      </c>
      <c r="K473" s="49">
        <v>19000</v>
      </c>
      <c r="L473" s="49"/>
      <c r="M473" s="238"/>
      <c r="N473" s="49"/>
      <c r="O473" s="218">
        <v>19000</v>
      </c>
      <c r="P473" s="224"/>
      <c r="Q473" s="224"/>
    </row>
    <row r="474" spans="1:17" ht="46.8" x14ac:dyDescent="0.3">
      <c r="A474" s="4"/>
      <c r="B474" s="19"/>
      <c r="C474" s="19"/>
      <c r="D474" s="19"/>
      <c r="E474" s="19"/>
      <c r="F474" s="20"/>
      <c r="G474" s="2" t="s">
        <v>703</v>
      </c>
      <c r="H474" s="51"/>
      <c r="I474" s="60" t="s">
        <v>547</v>
      </c>
      <c r="J474" s="48"/>
      <c r="K474" s="49">
        <f>K475</f>
        <v>10000</v>
      </c>
      <c r="L474" s="49"/>
      <c r="M474" s="238"/>
      <c r="N474" s="49">
        <f t="shared" ref="N474:O476" si="35">N475</f>
        <v>0</v>
      </c>
      <c r="O474" s="218">
        <f t="shared" si="35"/>
        <v>10000</v>
      </c>
      <c r="P474" s="224"/>
      <c r="Q474" s="224"/>
    </row>
    <row r="475" spans="1:17" ht="46.8" x14ac:dyDescent="0.3">
      <c r="A475" s="4"/>
      <c r="B475" s="19"/>
      <c r="C475" s="19"/>
      <c r="D475" s="19"/>
      <c r="E475" s="19"/>
      <c r="F475" s="20"/>
      <c r="G475" s="63" t="s">
        <v>633</v>
      </c>
      <c r="H475" s="51"/>
      <c r="I475" s="64" t="s">
        <v>548</v>
      </c>
      <c r="J475" s="48"/>
      <c r="K475" s="49">
        <f>K476</f>
        <v>10000</v>
      </c>
      <c r="L475" s="49"/>
      <c r="M475" s="238"/>
      <c r="N475" s="49">
        <f t="shared" si="35"/>
        <v>0</v>
      </c>
      <c r="O475" s="218">
        <f t="shared" si="35"/>
        <v>10000</v>
      </c>
      <c r="P475" s="224"/>
      <c r="Q475" s="224"/>
    </row>
    <row r="476" spans="1:17" ht="31.2" x14ac:dyDescent="0.3">
      <c r="A476" s="4"/>
      <c r="B476" s="19"/>
      <c r="C476" s="19"/>
      <c r="D476" s="19"/>
      <c r="E476" s="19"/>
      <c r="F476" s="20"/>
      <c r="G476" s="51" t="s">
        <v>558</v>
      </c>
      <c r="H476" s="51"/>
      <c r="I476" s="47" t="s">
        <v>632</v>
      </c>
      <c r="J476" s="48"/>
      <c r="K476" s="49">
        <f>K477</f>
        <v>10000</v>
      </c>
      <c r="L476" s="49"/>
      <c r="M476" s="238"/>
      <c r="N476" s="49">
        <f t="shared" si="35"/>
        <v>0</v>
      </c>
      <c r="O476" s="218">
        <f t="shared" si="35"/>
        <v>10000</v>
      </c>
      <c r="P476" s="224"/>
      <c r="Q476" s="224"/>
    </row>
    <row r="477" spans="1:17" ht="31.2" x14ac:dyDescent="0.3">
      <c r="A477" s="4"/>
      <c r="B477" s="19"/>
      <c r="C477" s="19"/>
      <c r="D477" s="19"/>
      <c r="E477" s="19"/>
      <c r="F477" s="20"/>
      <c r="G477" s="51" t="s">
        <v>2</v>
      </c>
      <c r="H477" s="51"/>
      <c r="I477" s="79"/>
      <c r="J477" s="48">
        <v>200</v>
      </c>
      <c r="K477" s="49">
        <v>10000</v>
      </c>
      <c r="L477" s="49"/>
      <c r="M477" s="238"/>
      <c r="N477" s="49"/>
      <c r="O477" s="218">
        <v>10000</v>
      </c>
      <c r="P477" s="224"/>
      <c r="Q477" s="224"/>
    </row>
    <row r="478" spans="1:17" ht="66.599999999999994" customHeight="1" x14ac:dyDescent="0.3">
      <c r="A478" s="4"/>
      <c r="B478" s="323"/>
      <c r="C478" s="323"/>
      <c r="D478" s="323"/>
      <c r="E478" s="323"/>
      <c r="F478" s="324"/>
      <c r="G478" s="2" t="s">
        <v>676</v>
      </c>
      <c r="H478" s="51"/>
      <c r="I478" s="60" t="s">
        <v>420</v>
      </c>
      <c r="J478" s="48"/>
      <c r="K478" s="49"/>
      <c r="L478" s="49"/>
      <c r="M478" s="238"/>
      <c r="N478" s="49"/>
      <c r="O478" s="251">
        <f>O479</f>
        <v>0</v>
      </c>
      <c r="P478" s="224"/>
      <c r="Q478" s="224"/>
    </row>
    <row r="479" spans="1:17" ht="65.400000000000006" customHeight="1" x14ac:dyDescent="0.3">
      <c r="A479" s="4"/>
      <c r="B479" s="323"/>
      <c r="C479" s="323"/>
      <c r="D479" s="323"/>
      <c r="E479" s="323"/>
      <c r="F479" s="324"/>
      <c r="G479" s="14" t="s">
        <v>677</v>
      </c>
      <c r="H479" s="51"/>
      <c r="I479" s="47" t="s">
        <v>421</v>
      </c>
      <c r="J479" s="48"/>
      <c r="K479" s="49"/>
      <c r="L479" s="49"/>
      <c r="M479" s="238"/>
      <c r="N479" s="49"/>
      <c r="O479" s="218">
        <f>O480</f>
        <v>0</v>
      </c>
      <c r="P479" s="224"/>
      <c r="Q479" s="224"/>
    </row>
    <row r="480" spans="1:17" ht="50.4" customHeight="1" x14ac:dyDescent="0.3">
      <c r="A480" s="4"/>
      <c r="B480" s="323"/>
      <c r="C480" s="323"/>
      <c r="D480" s="323"/>
      <c r="E480" s="323"/>
      <c r="F480" s="324"/>
      <c r="G480" s="63" t="s">
        <v>450</v>
      </c>
      <c r="H480" s="51"/>
      <c r="I480" s="64" t="s">
        <v>422</v>
      </c>
      <c r="J480" s="48"/>
      <c r="K480" s="49"/>
      <c r="L480" s="49"/>
      <c r="M480" s="238"/>
      <c r="N480" s="49"/>
      <c r="O480" s="218">
        <f>O481</f>
        <v>0</v>
      </c>
      <c r="P480" s="224"/>
      <c r="Q480" s="224"/>
    </row>
    <row r="481" spans="1:17" ht="78" x14ac:dyDescent="0.3">
      <c r="A481" s="4"/>
      <c r="B481" s="323"/>
      <c r="C481" s="323"/>
      <c r="D481" s="323"/>
      <c r="E481" s="323"/>
      <c r="F481" s="324"/>
      <c r="G481" s="14" t="s">
        <v>678</v>
      </c>
      <c r="H481" s="51"/>
      <c r="I481" s="47" t="s">
        <v>423</v>
      </c>
      <c r="J481" s="48"/>
      <c r="K481" s="49"/>
      <c r="L481" s="49"/>
      <c r="M481" s="238"/>
      <c r="N481" s="49"/>
      <c r="O481" s="218">
        <f>O482</f>
        <v>0</v>
      </c>
      <c r="P481" s="224"/>
      <c r="Q481" s="224"/>
    </row>
    <row r="482" spans="1:17" ht="31.2" x14ac:dyDescent="0.3">
      <c r="A482" s="4"/>
      <c r="B482" s="323"/>
      <c r="C482" s="323"/>
      <c r="D482" s="323"/>
      <c r="E482" s="323"/>
      <c r="F482" s="324"/>
      <c r="G482" s="51" t="s">
        <v>2</v>
      </c>
      <c r="H482" s="51"/>
      <c r="I482" s="47"/>
      <c r="J482" s="48">
        <v>200</v>
      </c>
      <c r="K482" s="49"/>
      <c r="L482" s="49"/>
      <c r="M482" s="238"/>
      <c r="N482" s="49"/>
      <c r="O482" s="218"/>
      <c r="P482" s="224"/>
      <c r="Q482" s="224"/>
    </row>
    <row r="483" spans="1:17" ht="78" x14ac:dyDescent="0.3">
      <c r="A483" s="4"/>
      <c r="B483" s="19"/>
      <c r="C483" s="19"/>
      <c r="D483" s="19"/>
      <c r="E483" s="19"/>
      <c r="F483" s="20"/>
      <c r="G483" s="2" t="s">
        <v>704</v>
      </c>
      <c r="H483" s="121"/>
      <c r="I483" s="60" t="s">
        <v>236</v>
      </c>
      <c r="J483" s="122" t="s">
        <v>0</v>
      </c>
      <c r="K483" s="127">
        <f>K484</f>
        <v>752154</v>
      </c>
      <c r="L483" s="127"/>
      <c r="M483" s="239">
        <f>M484</f>
        <v>150000</v>
      </c>
      <c r="N483" s="127">
        <f>N484</f>
        <v>0</v>
      </c>
      <c r="O483" s="218">
        <f>O484</f>
        <v>170000</v>
      </c>
      <c r="P483" s="224"/>
      <c r="Q483" s="224"/>
    </row>
    <row r="484" spans="1:17" ht="93.6" x14ac:dyDescent="0.3">
      <c r="A484" s="4"/>
      <c r="B484" s="19"/>
      <c r="C484" s="19"/>
      <c r="D484" s="19"/>
      <c r="E484" s="19"/>
      <c r="F484" s="20"/>
      <c r="G484" s="14" t="s">
        <v>705</v>
      </c>
      <c r="H484" s="51"/>
      <c r="I484" s="47" t="s">
        <v>237</v>
      </c>
      <c r="J484" s="48" t="s">
        <v>0</v>
      </c>
      <c r="K484" s="49">
        <f>K485+K488</f>
        <v>752154</v>
      </c>
      <c r="L484" s="49"/>
      <c r="M484" s="238">
        <f>M485+M488</f>
        <v>150000</v>
      </c>
      <c r="N484" s="49">
        <f>N485+N488</f>
        <v>0</v>
      </c>
      <c r="O484" s="218">
        <f>O485+O488</f>
        <v>170000</v>
      </c>
      <c r="P484" s="224"/>
      <c r="Q484" s="224"/>
    </row>
    <row r="485" spans="1:17" ht="41.4" x14ac:dyDescent="0.3">
      <c r="A485" s="4"/>
      <c r="B485" s="19"/>
      <c r="C485" s="19"/>
      <c r="D485" s="19"/>
      <c r="E485" s="19"/>
      <c r="F485" s="20"/>
      <c r="G485" s="212" t="s">
        <v>522</v>
      </c>
      <c r="H485" s="63"/>
      <c r="I485" s="64" t="s">
        <v>524</v>
      </c>
      <c r="J485" s="48"/>
      <c r="K485" s="49">
        <f>K486</f>
        <v>752154</v>
      </c>
      <c r="L485" s="49"/>
      <c r="M485" s="238">
        <f t="shared" ref="M485:O486" si="36">M486</f>
        <v>110000</v>
      </c>
      <c r="N485" s="49">
        <f t="shared" si="36"/>
        <v>0</v>
      </c>
      <c r="O485" s="218">
        <f t="shared" si="36"/>
        <v>170000</v>
      </c>
      <c r="P485" s="224"/>
      <c r="Q485" s="224"/>
    </row>
    <row r="486" spans="1:17" ht="46.8" x14ac:dyDescent="0.3">
      <c r="A486" s="4"/>
      <c r="B486" s="19"/>
      <c r="C486" s="19"/>
      <c r="D486" s="19"/>
      <c r="E486" s="19"/>
      <c r="F486" s="20"/>
      <c r="G486" s="14" t="s">
        <v>523</v>
      </c>
      <c r="H486" s="51"/>
      <c r="I486" s="47" t="s">
        <v>525</v>
      </c>
      <c r="J486" s="48"/>
      <c r="K486" s="49">
        <f>K487</f>
        <v>752154</v>
      </c>
      <c r="L486" s="49"/>
      <c r="M486" s="238">
        <f t="shared" si="36"/>
        <v>110000</v>
      </c>
      <c r="N486" s="49">
        <f t="shared" si="36"/>
        <v>0</v>
      </c>
      <c r="O486" s="218">
        <f t="shared" si="36"/>
        <v>170000</v>
      </c>
      <c r="P486" s="224"/>
      <c r="Q486" s="224"/>
    </row>
    <row r="487" spans="1:17" ht="31.2" x14ac:dyDescent="0.3">
      <c r="A487" s="4"/>
      <c r="B487" s="19"/>
      <c r="C487" s="19"/>
      <c r="D487" s="19"/>
      <c r="E487" s="19"/>
      <c r="F487" s="20"/>
      <c r="G487" s="51" t="s">
        <v>2</v>
      </c>
      <c r="H487" s="51"/>
      <c r="I487" s="47" t="s">
        <v>0</v>
      </c>
      <c r="J487" s="48">
        <v>200</v>
      </c>
      <c r="K487" s="49">
        <v>752154</v>
      </c>
      <c r="L487" s="49"/>
      <c r="M487" s="238">
        <v>110000</v>
      </c>
      <c r="N487" s="49"/>
      <c r="O487" s="271">
        <v>170000</v>
      </c>
      <c r="P487" s="224"/>
      <c r="Q487" s="224"/>
    </row>
    <row r="488" spans="1:17" hidden="1" x14ac:dyDescent="0.3">
      <c r="A488" s="4"/>
      <c r="B488" s="19"/>
      <c r="C488" s="19"/>
      <c r="D488" s="19"/>
      <c r="E488" s="19"/>
      <c r="F488" s="20"/>
      <c r="G488" s="169" t="s">
        <v>446</v>
      </c>
      <c r="H488" s="51"/>
      <c r="I488" s="64" t="s">
        <v>444</v>
      </c>
      <c r="J488" s="48"/>
      <c r="K488" s="49">
        <f>K489</f>
        <v>0</v>
      </c>
      <c r="L488" s="49"/>
      <c r="M488" s="238">
        <f>M489</f>
        <v>40000</v>
      </c>
      <c r="N488" s="49"/>
      <c r="O488" s="218"/>
      <c r="P488" s="224"/>
      <c r="Q488" s="224"/>
    </row>
    <row r="489" spans="1:17" ht="31.2" hidden="1" x14ac:dyDescent="0.3">
      <c r="A489" s="4"/>
      <c r="B489" s="19"/>
      <c r="C489" s="19"/>
      <c r="D489" s="19"/>
      <c r="E489" s="19"/>
      <c r="F489" s="20"/>
      <c r="G489" s="51" t="s">
        <v>447</v>
      </c>
      <c r="H489" s="51"/>
      <c r="I489" s="47" t="s">
        <v>445</v>
      </c>
      <c r="J489" s="48"/>
      <c r="K489" s="49">
        <f>K490</f>
        <v>0</v>
      </c>
      <c r="L489" s="49"/>
      <c r="M489" s="238">
        <f>M490</f>
        <v>40000</v>
      </c>
      <c r="N489" s="49"/>
      <c r="O489" s="218"/>
      <c r="P489" s="224"/>
      <c r="Q489" s="224"/>
    </row>
    <row r="490" spans="1:17" ht="31.2" hidden="1" x14ac:dyDescent="0.3">
      <c r="A490" s="4"/>
      <c r="B490" s="19"/>
      <c r="C490" s="19"/>
      <c r="D490" s="19"/>
      <c r="E490" s="19"/>
      <c r="F490" s="20"/>
      <c r="G490" s="51" t="s">
        <v>2</v>
      </c>
      <c r="H490" s="51"/>
      <c r="I490" s="47"/>
      <c r="J490" s="48">
        <v>200</v>
      </c>
      <c r="K490" s="49"/>
      <c r="L490" s="49"/>
      <c r="M490" s="238">
        <v>40000</v>
      </c>
      <c r="N490" s="49"/>
      <c r="O490" s="218"/>
      <c r="P490" s="224"/>
      <c r="Q490" s="224"/>
    </row>
    <row r="491" spans="1:17" ht="45.6" hidden="1" customHeight="1" x14ac:dyDescent="0.3">
      <c r="A491" s="4"/>
      <c r="B491" s="262"/>
      <c r="C491" s="262"/>
      <c r="D491" s="262"/>
      <c r="E491" s="262"/>
      <c r="F491" s="263"/>
      <c r="G491" s="121" t="s">
        <v>599</v>
      </c>
      <c r="H491" s="121"/>
      <c r="I491" s="60" t="s">
        <v>238</v>
      </c>
      <c r="J491" s="122"/>
      <c r="K491" s="127"/>
      <c r="L491" s="127"/>
      <c r="M491" s="239"/>
      <c r="N491" s="127"/>
      <c r="O491" s="251">
        <f t="shared" ref="O491:O494" si="37">O492</f>
        <v>0</v>
      </c>
      <c r="P491" s="265"/>
      <c r="Q491" s="265"/>
    </row>
    <row r="492" spans="1:17" ht="46.8" hidden="1" x14ac:dyDescent="0.3">
      <c r="A492" s="4"/>
      <c r="B492" s="262"/>
      <c r="C492" s="262"/>
      <c r="D492" s="262"/>
      <c r="E492" s="262"/>
      <c r="F492" s="263"/>
      <c r="G492" s="121" t="s">
        <v>600</v>
      </c>
      <c r="H492" s="51"/>
      <c r="I492" s="125" t="s">
        <v>250</v>
      </c>
      <c r="J492" s="122"/>
      <c r="K492" s="49"/>
      <c r="L492" s="49"/>
      <c r="M492" s="238"/>
      <c r="N492" s="49"/>
      <c r="O492" s="269">
        <f t="shared" si="37"/>
        <v>0</v>
      </c>
      <c r="P492" s="224"/>
      <c r="Q492" s="224"/>
    </row>
    <row r="493" spans="1:17" ht="37.5" hidden="1" customHeight="1" x14ac:dyDescent="0.3">
      <c r="A493" s="4"/>
      <c r="B493" s="262"/>
      <c r="C493" s="262"/>
      <c r="D493" s="262"/>
      <c r="E493" s="262"/>
      <c r="F493" s="263"/>
      <c r="G493" s="63" t="s">
        <v>578</v>
      </c>
      <c r="H493" s="51"/>
      <c r="I493" s="123" t="s">
        <v>580</v>
      </c>
      <c r="J493" s="124"/>
      <c r="K493" s="49"/>
      <c r="L493" s="49"/>
      <c r="M493" s="238"/>
      <c r="N493" s="49"/>
      <c r="O493" s="270">
        <f t="shared" si="37"/>
        <v>0</v>
      </c>
      <c r="P493" s="224"/>
      <c r="Q493" s="224"/>
    </row>
    <row r="494" spans="1:17" ht="31.2" hidden="1" x14ac:dyDescent="0.3">
      <c r="A494" s="4"/>
      <c r="B494" s="262"/>
      <c r="C494" s="262"/>
      <c r="D494" s="262"/>
      <c r="E494" s="262"/>
      <c r="F494" s="263"/>
      <c r="G494" s="51" t="s">
        <v>579</v>
      </c>
      <c r="H494" s="51"/>
      <c r="I494" s="52" t="s">
        <v>581</v>
      </c>
      <c r="J494" s="48"/>
      <c r="K494" s="49"/>
      <c r="L494" s="49"/>
      <c r="M494" s="238"/>
      <c r="N494" s="49"/>
      <c r="O494" s="271">
        <f t="shared" si="37"/>
        <v>0</v>
      </c>
      <c r="P494" s="224"/>
      <c r="Q494" s="224"/>
    </row>
    <row r="495" spans="1:17" ht="31.2" hidden="1" x14ac:dyDescent="0.3">
      <c r="A495" s="4"/>
      <c r="B495" s="262"/>
      <c r="C495" s="262"/>
      <c r="D495" s="262"/>
      <c r="E495" s="262"/>
      <c r="F495" s="263"/>
      <c r="G495" s="51" t="s">
        <v>10</v>
      </c>
      <c r="H495" s="51"/>
      <c r="I495" s="47"/>
      <c r="J495" s="196">
        <v>400</v>
      </c>
      <c r="K495" s="49"/>
      <c r="L495" s="49"/>
      <c r="M495" s="238"/>
      <c r="N495" s="49"/>
      <c r="O495" s="271">
        <v>0</v>
      </c>
      <c r="P495" s="224"/>
      <c r="Q495" s="224"/>
    </row>
    <row r="496" spans="1:17" ht="46.8" x14ac:dyDescent="0.3">
      <c r="A496" s="4"/>
      <c r="B496" s="297"/>
      <c r="C496" s="297"/>
      <c r="D496" s="297"/>
      <c r="E496" s="297"/>
      <c r="F496" s="298"/>
      <c r="G496" s="2" t="s">
        <v>679</v>
      </c>
      <c r="H496" s="51"/>
      <c r="I496" s="60" t="s">
        <v>238</v>
      </c>
      <c r="J496" s="196"/>
      <c r="K496" s="49"/>
      <c r="L496" s="49"/>
      <c r="M496" s="238"/>
      <c r="N496" s="49"/>
      <c r="O496" s="269">
        <f>O497</f>
        <v>15758654</v>
      </c>
      <c r="P496" s="224"/>
      <c r="Q496" s="224"/>
    </row>
    <row r="497" spans="1:17" ht="46.8" x14ac:dyDescent="0.3">
      <c r="A497" s="4"/>
      <c r="B497" s="297"/>
      <c r="C497" s="297"/>
      <c r="D497" s="297"/>
      <c r="E497" s="297"/>
      <c r="F497" s="298"/>
      <c r="G497" s="2" t="s">
        <v>706</v>
      </c>
      <c r="H497" s="51"/>
      <c r="I497" s="60" t="s">
        <v>250</v>
      </c>
      <c r="J497" s="196"/>
      <c r="K497" s="49"/>
      <c r="L497" s="49"/>
      <c r="M497" s="238"/>
      <c r="N497" s="49"/>
      <c r="O497" s="271">
        <f>O498</f>
        <v>15758654</v>
      </c>
      <c r="P497" s="224"/>
      <c r="Q497" s="224"/>
    </row>
    <row r="498" spans="1:17" ht="31.2" x14ac:dyDescent="0.3">
      <c r="A498" s="4"/>
      <c r="B498" s="297"/>
      <c r="C498" s="297"/>
      <c r="D498" s="297"/>
      <c r="E498" s="297"/>
      <c r="F498" s="298"/>
      <c r="G498" s="63" t="s">
        <v>578</v>
      </c>
      <c r="H498" s="51"/>
      <c r="I498" s="64" t="s">
        <v>251</v>
      </c>
      <c r="J498" s="196"/>
      <c r="K498" s="49"/>
      <c r="L498" s="49"/>
      <c r="M498" s="238"/>
      <c r="N498" s="49"/>
      <c r="O498" s="271">
        <f>O499</f>
        <v>15758654</v>
      </c>
      <c r="P498" s="224"/>
      <c r="Q498" s="224"/>
    </row>
    <row r="499" spans="1:17" ht="31.2" x14ac:dyDescent="0.3">
      <c r="A499" s="4"/>
      <c r="B499" s="297"/>
      <c r="C499" s="297"/>
      <c r="D499" s="297"/>
      <c r="E499" s="297"/>
      <c r="F499" s="298"/>
      <c r="G499" s="51" t="s">
        <v>579</v>
      </c>
      <c r="H499" s="51"/>
      <c r="I499" s="52" t="s">
        <v>581</v>
      </c>
      <c r="J499" s="196"/>
      <c r="K499" s="49"/>
      <c r="L499" s="49"/>
      <c r="M499" s="238"/>
      <c r="N499" s="49"/>
      <c r="O499" s="271">
        <f>O500</f>
        <v>15758654</v>
      </c>
      <c r="P499" s="224"/>
      <c r="Q499" s="224"/>
    </row>
    <row r="500" spans="1:17" ht="31.2" x14ac:dyDescent="0.3">
      <c r="A500" s="4"/>
      <c r="B500" s="297"/>
      <c r="C500" s="297"/>
      <c r="D500" s="297"/>
      <c r="E500" s="297"/>
      <c r="F500" s="298"/>
      <c r="G500" s="51" t="s">
        <v>10</v>
      </c>
      <c r="H500" s="51"/>
      <c r="I500" s="47"/>
      <c r="J500" s="196">
        <v>400</v>
      </c>
      <c r="K500" s="49"/>
      <c r="L500" s="49"/>
      <c r="M500" s="238"/>
      <c r="N500" s="49"/>
      <c r="O500" s="271">
        <f>1885814+13872840</f>
        <v>15758654</v>
      </c>
      <c r="P500" s="224"/>
      <c r="Q500" s="224"/>
    </row>
    <row r="501" spans="1:17" ht="46.8" x14ac:dyDescent="0.3">
      <c r="A501" s="4"/>
      <c r="B501" s="19"/>
      <c r="C501" s="19"/>
      <c r="D501" s="19"/>
      <c r="E501" s="19"/>
      <c r="F501" s="20"/>
      <c r="G501" s="2" t="s">
        <v>707</v>
      </c>
      <c r="H501" s="121"/>
      <c r="I501" s="60" t="s">
        <v>258</v>
      </c>
      <c r="J501" s="122" t="s">
        <v>0</v>
      </c>
      <c r="K501" s="127">
        <f>K507+K511</f>
        <v>21628423</v>
      </c>
      <c r="L501" s="127">
        <f>L502+L511</f>
        <v>0</v>
      </c>
      <c r="M501" s="239">
        <f>M502+M511</f>
        <v>11628423</v>
      </c>
      <c r="N501" s="127">
        <f t="shared" ref="N501:O501" si="38">N507+N511</f>
        <v>94450</v>
      </c>
      <c r="O501" s="251">
        <f t="shared" si="38"/>
        <v>14625463</v>
      </c>
      <c r="P501" s="224"/>
      <c r="Q501" s="224"/>
    </row>
    <row r="502" spans="1:17" ht="46.8" hidden="1" x14ac:dyDescent="0.3">
      <c r="A502" s="4"/>
      <c r="B502" s="19"/>
      <c r="C502" s="19"/>
      <c r="D502" s="19"/>
      <c r="E502" s="19"/>
      <c r="F502" s="20"/>
      <c r="G502" s="51" t="s">
        <v>533</v>
      </c>
      <c r="H502" s="121"/>
      <c r="I502" s="47" t="s">
        <v>259</v>
      </c>
      <c r="J502" s="48" t="s">
        <v>0</v>
      </c>
      <c r="K502" s="49">
        <f t="shared" ref="K502:M503" si="39">K503</f>
        <v>0</v>
      </c>
      <c r="L502" s="49">
        <f t="shared" si="39"/>
        <v>0</v>
      </c>
      <c r="M502" s="238">
        <f t="shared" si="39"/>
        <v>0</v>
      </c>
      <c r="N502" s="49"/>
      <c r="O502" s="218"/>
      <c r="P502" s="224"/>
      <c r="Q502" s="224"/>
    </row>
    <row r="503" spans="1:17" ht="52.5" hidden="1" customHeight="1" x14ac:dyDescent="0.3">
      <c r="A503" s="4"/>
      <c r="B503" s="19"/>
      <c r="C503" s="19"/>
      <c r="D503" s="19"/>
      <c r="E503" s="19"/>
      <c r="F503" s="20"/>
      <c r="G503" s="63" t="s">
        <v>318</v>
      </c>
      <c r="H503" s="63"/>
      <c r="I503" s="64" t="s">
        <v>260</v>
      </c>
      <c r="J503" s="48"/>
      <c r="K503" s="49">
        <f t="shared" si="39"/>
        <v>0</v>
      </c>
      <c r="L503" s="49">
        <f t="shared" si="39"/>
        <v>0</v>
      </c>
      <c r="M503" s="238">
        <f t="shared" si="39"/>
        <v>0</v>
      </c>
      <c r="N503" s="49"/>
      <c r="O503" s="218"/>
      <c r="P503" s="224"/>
      <c r="Q503" s="224"/>
    </row>
    <row r="504" spans="1:17" ht="49.35" hidden="1" customHeight="1" x14ac:dyDescent="0.3">
      <c r="A504" s="4"/>
      <c r="B504" s="19"/>
      <c r="C504" s="19"/>
      <c r="D504" s="19"/>
      <c r="E504" s="19"/>
      <c r="F504" s="20"/>
      <c r="G504" s="51" t="s">
        <v>534</v>
      </c>
      <c r="H504" s="51"/>
      <c r="I504" s="47" t="s">
        <v>261</v>
      </c>
      <c r="J504" s="48"/>
      <c r="K504" s="49">
        <f>K505+K506</f>
        <v>0</v>
      </c>
      <c r="L504" s="49">
        <f>L505+L506</f>
        <v>0</v>
      </c>
      <c r="M504" s="238">
        <f>M505+M506</f>
        <v>0</v>
      </c>
      <c r="N504" s="49"/>
      <c r="O504" s="218"/>
      <c r="P504" s="224"/>
      <c r="Q504" s="224"/>
    </row>
    <row r="505" spans="1:17" ht="42" hidden="1" customHeight="1" x14ac:dyDescent="0.3">
      <c r="A505" s="4"/>
      <c r="B505" s="19"/>
      <c r="C505" s="19"/>
      <c r="D505" s="19"/>
      <c r="E505" s="19"/>
      <c r="F505" s="20"/>
      <c r="G505" s="51" t="s">
        <v>4</v>
      </c>
      <c r="H505" s="51"/>
      <c r="I505" s="52"/>
      <c r="J505" s="48">
        <v>400</v>
      </c>
      <c r="K505" s="49"/>
      <c r="L505" s="49"/>
      <c r="M505" s="238"/>
      <c r="N505" s="49"/>
      <c r="O505" s="218"/>
      <c r="P505" s="224"/>
      <c r="Q505" s="224"/>
    </row>
    <row r="506" spans="1:17" ht="35.1" hidden="1" customHeight="1" x14ac:dyDescent="0.3">
      <c r="A506" s="4"/>
      <c r="B506" s="19"/>
      <c r="C506" s="19"/>
      <c r="D506" s="19"/>
      <c r="E506" s="19"/>
      <c r="F506" s="20"/>
      <c r="G506" s="51" t="s">
        <v>10</v>
      </c>
      <c r="H506" s="51"/>
      <c r="I506" s="52"/>
      <c r="J506" s="48">
        <v>400</v>
      </c>
      <c r="K506" s="49"/>
      <c r="L506" s="49"/>
      <c r="M506" s="238">
        <f>K506+L506</f>
        <v>0</v>
      </c>
      <c r="N506" s="49"/>
      <c r="O506" s="218"/>
      <c r="P506" s="224"/>
      <c r="Q506" s="224"/>
    </row>
    <row r="507" spans="1:17" ht="50.25" hidden="1" customHeight="1" x14ac:dyDescent="0.3">
      <c r="A507" s="4"/>
      <c r="B507" s="256"/>
      <c r="C507" s="256"/>
      <c r="D507" s="256"/>
      <c r="E507" s="256"/>
      <c r="F507" s="257"/>
      <c r="G507" s="121" t="s">
        <v>601</v>
      </c>
      <c r="H507" s="199"/>
      <c r="I507" s="60" t="s">
        <v>259</v>
      </c>
      <c r="J507" s="48"/>
      <c r="K507" s="127">
        <f>K508</f>
        <v>10000000</v>
      </c>
      <c r="L507" s="127"/>
      <c r="M507" s="239"/>
      <c r="N507" s="127">
        <f t="shared" ref="N507:O507" si="40">N508</f>
        <v>0</v>
      </c>
      <c r="O507" s="251">
        <f t="shared" si="40"/>
        <v>0</v>
      </c>
      <c r="P507" s="224"/>
      <c r="Q507" s="224"/>
    </row>
    <row r="508" spans="1:17" ht="35.1" hidden="1" customHeight="1" x14ac:dyDescent="0.3">
      <c r="A508" s="4"/>
      <c r="B508" s="256"/>
      <c r="C508" s="256"/>
      <c r="D508" s="256"/>
      <c r="E508" s="256"/>
      <c r="F508" s="257"/>
      <c r="G508" s="63" t="s">
        <v>318</v>
      </c>
      <c r="H508" s="199"/>
      <c r="I508" s="64" t="s">
        <v>260</v>
      </c>
      <c r="J508" s="48"/>
      <c r="K508" s="174">
        <f>K509</f>
        <v>10000000</v>
      </c>
      <c r="L508" s="174"/>
      <c r="M508" s="242"/>
      <c r="N508" s="174">
        <f t="shared" ref="N508:O508" si="41">N509</f>
        <v>0</v>
      </c>
      <c r="O508" s="216">
        <f t="shared" si="41"/>
        <v>0</v>
      </c>
      <c r="P508" s="224"/>
      <c r="Q508" s="224"/>
    </row>
    <row r="509" spans="1:17" ht="112.5" hidden="1" customHeight="1" x14ac:dyDescent="0.3">
      <c r="A509" s="4"/>
      <c r="B509" s="256"/>
      <c r="C509" s="256"/>
      <c r="D509" s="256"/>
      <c r="E509" s="256"/>
      <c r="F509" s="257"/>
      <c r="G509" s="143" t="s">
        <v>573</v>
      </c>
      <c r="H509" s="199"/>
      <c r="I509" s="47" t="s">
        <v>574</v>
      </c>
      <c r="J509" s="48"/>
      <c r="K509" s="49">
        <f>K510</f>
        <v>10000000</v>
      </c>
      <c r="L509" s="49"/>
      <c r="M509" s="238"/>
      <c r="N509" s="49">
        <f t="shared" ref="N509:O509" si="42">N510</f>
        <v>0</v>
      </c>
      <c r="O509" s="218">
        <f t="shared" si="42"/>
        <v>0</v>
      </c>
      <c r="P509" s="224"/>
      <c r="Q509" s="224"/>
    </row>
    <row r="510" spans="1:17" ht="26.4" hidden="1" customHeight="1" x14ac:dyDescent="0.3">
      <c r="A510" s="4"/>
      <c r="B510" s="256"/>
      <c r="C510" s="256"/>
      <c r="D510" s="256"/>
      <c r="E510" s="256"/>
      <c r="F510" s="257"/>
      <c r="G510" s="143" t="s">
        <v>6</v>
      </c>
      <c r="H510" s="199"/>
      <c r="I510" s="47"/>
      <c r="J510" s="48">
        <v>500</v>
      </c>
      <c r="K510" s="49">
        <v>10000000</v>
      </c>
      <c r="L510" s="49"/>
      <c r="M510" s="238"/>
      <c r="N510" s="49">
        <v>0</v>
      </c>
      <c r="O510" s="218"/>
      <c r="P510" s="224"/>
      <c r="Q510" s="224"/>
    </row>
    <row r="511" spans="1:17" ht="72" customHeight="1" x14ac:dyDescent="0.3">
      <c r="A511" s="4"/>
      <c r="B511" s="19"/>
      <c r="C511" s="19"/>
      <c r="D511" s="19"/>
      <c r="E511" s="19"/>
      <c r="F511" s="20"/>
      <c r="G511" s="2" t="s">
        <v>708</v>
      </c>
      <c r="H511" s="121"/>
      <c r="I511" s="60" t="s">
        <v>259</v>
      </c>
      <c r="J511" s="122"/>
      <c r="K511" s="127">
        <f t="shared" ref="K511:O513" si="43">K512</f>
        <v>11628423</v>
      </c>
      <c r="L511" s="127">
        <f t="shared" si="43"/>
        <v>0</v>
      </c>
      <c r="M511" s="239">
        <f t="shared" si="43"/>
        <v>11628423</v>
      </c>
      <c r="N511" s="127">
        <f t="shared" si="43"/>
        <v>94450</v>
      </c>
      <c r="O511" s="251">
        <f t="shared" si="43"/>
        <v>14625463</v>
      </c>
      <c r="P511" s="224"/>
      <c r="Q511" s="224"/>
    </row>
    <row r="512" spans="1:17" ht="46.8" x14ac:dyDescent="0.3">
      <c r="A512" s="4"/>
      <c r="B512" s="19"/>
      <c r="C512" s="19"/>
      <c r="D512" s="19"/>
      <c r="E512" s="19"/>
      <c r="F512" s="20"/>
      <c r="G512" s="63" t="s">
        <v>376</v>
      </c>
      <c r="H512" s="63"/>
      <c r="I512" s="64" t="s">
        <v>260</v>
      </c>
      <c r="J512" s="48"/>
      <c r="K512" s="49">
        <f t="shared" si="43"/>
        <v>11628423</v>
      </c>
      <c r="L512" s="49">
        <f t="shared" si="43"/>
        <v>0</v>
      </c>
      <c r="M512" s="238">
        <f t="shared" si="43"/>
        <v>11628423</v>
      </c>
      <c r="N512" s="49">
        <f t="shared" si="43"/>
        <v>94450</v>
      </c>
      <c r="O512" s="218">
        <f t="shared" si="43"/>
        <v>14625463</v>
      </c>
      <c r="P512" s="224"/>
      <c r="Q512" s="224"/>
    </row>
    <row r="513" spans="1:17" ht="83.25" customHeight="1" x14ac:dyDescent="0.3">
      <c r="A513" s="4"/>
      <c r="B513" s="19"/>
      <c r="C513" s="19"/>
      <c r="D513" s="19"/>
      <c r="E513" s="19"/>
      <c r="F513" s="20"/>
      <c r="G513" s="14" t="s">
        <v>709</v>
      </c>
      <c r="H513" s="51"/>
      <c r="I513" s="47" t="s">
        <v>635</v>
      </c>
      <c r="J513" s="48"/>
      <c r="K513" s="49">
        <f t="shared" si="43"/>
        <v>11628423</v>
      </c>
      <c r="L513" s="49">
        <f t="shared" si="43"/>
        <v>0</v>
      </c>
      <c r="M513" s="238">
        <f t="shared" si="43"/>
        <v>11628423</v>
      </c>
      <c r="N513" s="49">
        <f t="shared" si="43"/>
        <v>94450</v>
      </c>
      <c r="O513" s="218">
        <f t="shared" si="43"/>
        <v>14625463</v>
      </c>
      <c r="P513" s="224"/>
      <c r="Q513" s="224"/>
    </row>
    <row r="514" spans="1:17" ht="31.2" x14ac:dyDescent="0.3">
      <c r="A514" s="4"/>
      <c r="B514" s="19"/>
      <c r="C514" s="19"/>
      <c r="D514" s="19"/>
      <c r="E514" s="19"/>
      <c r="F514" s="20"/>
      <c r="G514" s="51" t="s">
        <v>4</v>
      </c>
      <c r="H514" s="51"/>
      <c r="I514" s="52"/>
      <c r="J514" s="48">
        <v>600</v>
      </c>
      <c r="K514" s="49">
        <v>11628423</v>
      </c>
      <c r="L514" s="49"/>
      <c r="M514" s="238">
        <f>K514+L514</f>
        <v>11628423</v>
      </c>
      <c r="N514" s="49">
        <v>94450</v>
      </c>
      <c r="O514" s="271">
        <f>14143289+369120+113054</f>
        <v>14625463</v>
      </c>
      <c r="P514" s="224"/>
      <c r="Q514" s="224"/>
    </row>
    <row r="515" spans="1:17" ht="66" hidden="1" customHeight="1" x14ac:dyDescent="0.3">
      <c r="A515" s="4"/>
      <c r="B515" s="19"/>
      <c r="C515" s="19"/>
      <c r="D515" s="19"/>
      <c r="E515" s="19"/>
      <c r="F515" s="20"/>
      <c r="G515" s="203" t="s">
        <v>434</v>
      </c>
      <c r="H515" s="121"/>
      <c r="I515" s="60" t="s">
        <v>262</v>
      </c>
      <c r="J515" s="122" t="s">
        <v>0</v>
      </c>
      <c r="K515" s="127">
        <f>K516</f>
        <v>0</v>
      </c>
      <c r="L515" s="127">
        <v>0</v>
      </c>
      <c r="M515" s="239">
        <f>M516</f>
        <v>0</v>
      </c>
      <c r="N515" s="127"/>
      <c r="O515" s="218"/>
      <c r="P515" s="224"/>
      <c r="Q515" s="224"/>
    </row>
    <row r="516" spans="1:17" ht="62.4" hidden="1" x14ac:dyDescent="0.3">
      <c r="A516" s="4"/>
      <c r="B516" s="19"/>
      <c r="C516" s="19"/>
      <c r="D516" s="19"/>
      <c r="E516" s="19"/>
      <c r="F516" s="20"/>
      <c r="G516" s="167" t="s">
        <v>435</v>
      </c>
      <c r="H516" s="51"/>
      <c r="I516" s="47" t="s">
        <v>263</v>
      </c>
      <c r="J516" s="48" t="s">
        <v>0</v>
      </c>
      <c r="K516" s="49">
        <f>SUM(K517+K522)</f>
        <v>0</v>
      </c>
      <c r="L516" s="49">
        <f>SUM(L517+L522)</f>
        <v>0</v>
      </c>
      <c r="M516" s="238">
        <f>SUM(M517+M522)</f>
        <v>0</v>
      </c>
      <c r="N516" s="49"/>
      <c r="O516" s="218"/>
      <c r="P516" s="224"/>
      <c r="Q516" s="224"/>
    </row>
    <row r="517" spans="1:17" ht="31.2" hidden="1" x14ac:dyDescent="0.3">
      <c r="A517" s="4"/>
      <c r="B517" s="360" t="s">
        <v>9</v>
      </c>
      <c r="C517" s="360"/>
      <c r="D517" s="360"/>
      <c r="E517" s="360"/>
      <c r="F517" s="361"/>
      <c r="G517" s="168" t="s">
        <v>436</v>
      </c>
      <c r="H517" s="63"/>
      <c r="I517" s="64" t="s">
        <v>264</v>
      </c>
      <c r="J517" s="48"/>
      <c r="K517" s="49">
        <f>K518+K520</f>
        <v>0</v>
      </c>
      <c r="L517" s="49">
        <f>L518+L520</f>
        <v>0</v>
      </c>
      <c r="M517" s="238">
        <f>M518+M520</f>
        <v>0</v>
      </c>
      <c r="N517" s="49"/>
      <c r="O517" s="218"/>
      <c r="P517" s="224"/>
      <c r="Q517" s="224"/>
    </row>
    <row r="518" spans="1:17" ht="46.8" hidden="1" x14ac:dyDescent="0.3">
      <c r="A518" s="4"/>
      <c r="B518" s="367" t="s">
        <v>7</v>
      </c>
      <c r="C518" s="367"/>
      <c r="D518" s="367"/>
      <c r="E518" s="367"/>
      <c r="F518" s="368"/>
      <c r="G518" s="51" t="s">
        <v>457</v>
      </c>
      <c r="I518" s="47" t="s">
        <v>458</v>
      </c>
      <c r="J518" s="48"/>
      <c r="K518" s="49">
        <f>K519</f>
        <v>0</v>
      </c>
      <c r="L518" s="49">
        <f>L519</f>
        <v>0</v>
      </c>
      <c r="M518" s="238">
        <f>M519</f>
        <v>0</v>
      </c>
      <c r="N518" s="49"/>
      <c r="O518" s="218"/>
      <c r="P518" s="224"/>
      <c r="Q518" s="224"/>
    </row>
    <row r="519" spans="1:17" ht="31.5" hidden="1" customHeight="1" x14ac:dyDescent="0.3">
      <c r="A519" s="4"/>
      <c r="B519" s="17"/>
      <c r="C519" s="17"/>
      <c r="D519" s="17"/>
      <c r="E519" s="17"/>
      <c r="F519" s="18"/>
      <c r="G519" s="51" t="s">
        <v>10</v>
      </c>
      <c r="H519" s="51"/>
      <c r="I519" s="47"/>
      <c r="J519" s="48">
        <v>400</v>
      </c>
      <c r="K519" s="49">
        <v>0</v>
      </c>
      <c r="L519" s="49">
        <v>0</v>
      </c>
      <c r="M519" s="238">
        <f>K519+L519</f>
        <v>0</v>
      </c>
      <c r="N519" s="49"/>
      <c r="O519" s="218"/>
      <c r="P519" s="224"/>
      <c r="Q519" s="224"/>
    </row>
    <row r="520" spans="1:17" ht="31.2" hidden="1" x14ac:dyDescent="0.3">
      <c r="A520" s="4"/>
      <c r="B520" s="17"/>
      <c r="C520" s="17"/>
      <c r="D520" s="17"/>
      <c r="E520" s="17"/>
      <c r="F520" s="18"/>
      <c r="G520" s="51" t="s">
        <v>397</v>
      </c>
      <c r="H520" s="51"/>
      <c r="I520" s="47" t="s">
        <v>398</v>
      </c>
      <c r="J520" s="48"/>
      <c r="K520" s="49">
        <f>SUM(K521)</f>
        <v>0</v>
      </c>
      <c r="L520" s="49"/>
      <c r="M520" s="238">
        <f>SUM(M521)</f>
        <v>0</v>
      </c>
      <c r="N520" s="49"/>
      <c r="O520" s="218"/>
      <c r="P520" s="224"/>
      <c r="Q520" s="224"/>
    </row>
    <row r="521" spans="1:17" ht="31.2" hidden="1" x14ac:dyDescent="0.3">
      <c r="A521" s="4"/>
      <c r="B521" s="17"/>
      <c r="C521" s="17"/>
      <c r="D521" s="17"/>
      <c r="E521" s="17"/>
      <c r="F521" s="18"/>
      <c r="G521" s="51" t="s">
        <v>10</v>
      </c>
      <c r="H521" s="51"/>
      <c r="I521" s="47"/>
      <c r="J521" s="48">
        <v>400</v>
      </c>
      <c r="K521" s="49"/>
      <c r="L521" s="49"/>
      <c r="M521" s="238"/>
      <c r="N521" s="49"/>
      <c r="O521" s="218"/>
      <c r="P521" s="224"/>
      <c r="Q521" s="224"/>
    </row>
    <row r="522" spans="1:17" s="100" customFormat="1" ht="31.2" hidden="1" x14ac:dyDescent="0.3">
      <c r="A522" s="97"/>
      <c r="B522" s="98"/>
      <c r="C522" s="98"/>
      <c r="D522" s="98"/>
      <c r="E522" s="98"/>
      <c r="F522" s="99"/>
      <c r="G522" s="63" t="s">
        <v>405</v>
      </c>
      <c r="H522" s="51"/>
      <c r="I522" s="47" t="s">
        <v>407</v>
      </c>
      <c r="J522" s="48"/>
      <c r="K522" s="49">
        <f>SUM(K523+K525)</f>
        <v>0</v>
      </c>
      <c r="L522" s="49"/>
      <c r="M522" s="238">
        <f>SUM(M523+M525)</f>
        <v>0</v>
      </c>
      <c r="N522" s="49"/>
      <c r="O522" s="218"/>
      <c r="P522" s="224"/>
      <c r="Q522" s="224"/>
    </row>
    <row r="523" spans="1:17" s="100" customFormat="1" ht="46.8" hidden="1" x14ac:dyDescent="0.3">
      <c r="A523" s="97"/>
      <c r="B523" s="98"/>
      <c r="C523" s="98"/>
      <c r="D523" s="98"/>
      <c r="E523" s="98"/>
      <c r="F523" s="99"/>
      <c r="G523" s="51" t="s">
        <v>406</v>
      </c>
      <c r="H523" s="51"/>
      <c r="I523" s="47" t="s">
        <v>408</v>
      </c>
      <c r="J523" s="48"/>
      <c r="K523" s="49">
        <f>SUM(K524)</f>
        <v>0</v>
      </c>
      <c r="L523" s="49"/>
      <c r="M523" s="238">
        <f>SUM(M524)</f>
        <v>0</v>
      </c>
      <c r="N523" s="49"/>
      <c r="O523" s="218"/>
      <c r="P523" s="224"/>
      <c r="Q523" s="224"/>
    </row>
    <row r="524" spans="1:17" s="100" customFormat="1" ht="31.2" hidden="1" x14ac:dyDescent="0.3">
      <c r="A524" s="97"/>
      <c r="B524" s="98"/>
      <c r="C524" s="98"/>
      <c r="D524" s="98"/>
      <c r="E524" s="98"/>
      <c r="F524" s="99"/>
      <c r="G524" s="51" t="s">
        <v>10</v>
      </c>
      <c r="H524" s="51"/>
      <c r="I524" s="47"/>
      <c r="J524" s="48">
        <v>400</v>
      </c>
      <c r="K524" s="49">
        <v>0</v>
      </c>
      <c r="L524" s="49"/>
      <c r="M524" s="238">
        <v>0</v>
      </c>
      <c r="N524" s="49"/>
      <c r="O524" s="218"/>
      <c r="P524" s="224"/>
      <c r="Q524" s="224"/>
    </row>
    <row r="525" spans="1:17" s="100" customFormat="1" ht="31.2" hidden="1" x14ac:dyDescent="0.3">
      <c r="A525" s="97"/>
      <c r="B525" s="98"/>
      <c r="C525" s="98"/>
      <c r="D525" s="98"/>
      <c r="E525" s="98"/>
      <c r="F525" s="99"/>
      <c r="G525" s="51" t="s">
        <v>396</v>
      </c>
      <c r="H525" s="51"/>
      <c r="I525" s="47" t="s">
        <v>409</v>
      </c>
      <c r="J525" s="48"/>
      <c r="K525" s="49">
        <f>SUM(K526)</f>
        <v>0</v>
      </c>
      <c r="L525" s="49"/>
      <c r="M525" s="238">
        <f>SUM(M526)</f>
        <v>0</v>
      </c>
      <c r="N525" s="49"/>
      <c r="O525" s="218"/>
      <c r="P525" s="224"/>
      <c r="Q525" s="224"/>
    </row>
    <row r="526" spans="1:17" s="100" customFormat="1" ht="31.2" hidden="1" x14ac:dyDescent="0.3">
      <c r="A526" s="97"/>
      <c r="B526" s="98"/>
      <c r="C526" s="98"/>
      <c r="D526" s="98"/>
      <c r="E526" s="98"/>
      <c r="F526" s="99"/>
      <c r="G526" s="51" t="s">
        <v>10</v>
      </c>
      <c r="H526" s="51"/>
      <c r="I526" s="47"/>
      <c r="J526" s="48">
        <v>400</v>
      </c>
      <c r="K526" s="49">
        <v>0</v>
      </c>
      <c r="L526" s="49"/>
      <c r="M526" s="238">
        <v>0</v>
      </c>
      <c r="N526" s="49"/>
      <c r="O526" s="218"/>
      <c r="P526" s="224"/>
      <c r="Q526" s="224"/>
    </row>
    <row r="527" spans="1:17" ht="62.4" x14ac:dyDescent="0.3">
      <c r="A527" s="4"/>
      <c r="B527" s="17"/>
      <c r="C527" s="17"/>
      <c r="D527" s="17"/>
      <c r="E527" s="17"/>
      <c r="F527" s="18"/>
      <c r="G527" s="2" t="s">
        <v>710</v>
      </c>
      <c r="H527" s="121"/>
      <c r="I527" s="60" t="s">
        <v>265</v>
      </c>
      <c r="J527" s="122" t="s">
        <v>180</v>
      </c>
      <c r="K527" s="127">
        <f>K528</f>
        <v>50000</v>
      </c>
      <c r="L527" s="127"/>
      <c r="M527" s="239">
        <f>M528</f>
        <v>50000</v>
      </c>
      <c r="N527" s="127">
        <f>N528</f>
        <v>0</v>
      </c>
      <c r="O527" s="218">
        <f>O528</f>
        <v>60000</v>
      </c>
      <c r="P527" s="224"/>
      <c r="Q527" s="224"/>
    </row>
    <row r="528" spans="1:17" ht="66.599999999999994" customHeight="1" x14ac:dyDescent="0.3">
      <c r="A528" s="4"/>
      <c r="B528" s="17"/>
      <c r="C528" s="17"/>
      <c r="D528" s="17"/>
      <c r="E528" s="17"/>
      <c r="F528" s="18"/>
      <c r="G528" s="14" t="s">
        <v>711</v>
      </c>
      <c r="H528" s="51"/>
      <c r="I528" s="47" t="s">
        <v>266</v>
      </c>
      <c r="J528" s="48" t="s">
        <v>0</v>
      </c>
      <c r="K528" s="49">
        <f>K529+K533</f>
        <v>50000</v>
      </c>
      <c r="L528" s="49"/>
      <c r="M528" s="238">
        <f>M529+M533</f>
        <v>50000</v>
      </c>
      <c r="N528" s="49">
        <f>N529+N533</f>
        <v>0</v>
      </c>
      <c r="O528" s="218">
        <f>O529+O533</f>
        <v>60000</v>
      </c>
      <c r="P528" s="224"/>
      <c r="Q528" s="224"/>
    </row>
    <row r="529" spans="1:17" ht="93.6" x14ac:dyDescent="0.3">
      <c r="A529" s="4"/>
      <c r="B529" s="17"/>
      <c r="C529" s="17"/>
      <c r="D529" s="17"/>
      <c r="E529" s="17"/>
      <c r="F529" s="18"/>
      <c r="G529" s="63" t="s">
        <v>636</v>
      </c>
      <c r="H529" s="63"/>
      <c r="I529" s="64" t="s">
        <v>267</v>
      </c>
      <c r="J529" s="48"/>
      <c r="K529" s="49">
        <f>K530</f>
        <v>50000</v>
      </c>
      <c r="L529" s="49"/>
      <c r="M529" s="238">
        <f>M530</f>
        <v>50000</v>
      </c>
      <c r="N529" s="49">
        <f>N530</f>
        <v>0</v>
      </c>
      <c r="O529" s="218">
        <f>O530</f>
        <v>60000</v>
      </c>
      <c r="P529" s="224"/>
      <c r="Q529" s="224"/>
    </row>
    <row r="530" spans="1:17" ht="93.6" x14ac:dyDescent="0.3">
      <c r="A530" s="4"/>
      <c r="B530" s="17"/>
      <c r="C530" s="17"/>
      <c r="D530" s="17"/>
      <c r="E530" s="17"/>
      <c r="F530" s="18"/>
      <c r="G530" s="14" t="s">
        <v>712</v>
      </c>
      <c r="H530" s="51"/>
      <c r="I530" s="47" t="s">
        <v>268</v>
      </c>
      <c r="J530" s="48"/>
      <c r="K530" s="49">
        <f>K531+K532</f>
        <v>50000</v>
      </c>
      <c r="L530" s="49"/>
      <c r="M530" s="238">
        <f>M531+M532</f>
        <v>50000</v>
      </c>
      <c r="N530" s="49">
        <f>N531+N532</f>
        <v>0</v>
      </c>
      <c r="O530" s="218">
        <f>O531+O532</f>
        <v>60000</v>
      </c>
      <c r="P530" s="224"/>
      <c r="Q530" s="224"/>
    </row>
    <row r="531" spans="1:17" ht="40.5" customHeight="1" x14ac:dyDescent="0.3">
      <c r="A531" s="4"/>
      <c r="B531" s="17"/>
      <c r="C531" s="17"/>
      <c r="D531" s="17"/>
      <c r="E531" s="17"/>
      <c r="F531" s="18"/>
      <c r="G531" s="51" t="s">
        <v>2</v>
      </c>
      <c r="H531" s="51"/>
      <c r="I531" s="144"/>
      <c r="J531" s="48">
        <v>200</v>
      </c>
      <c r="K531" s="49">
        <v>50000</v>
      </c>
      <c r="L531" s="146"/>
      <c r="M531" s="243">
        <v>50000</v>
      </c>
      <c r="N531" s="49"/>
      <c r="O531" s="218">
        <v>60000</v>
      </c>
      <c r="P531" s="224"/>
      <c r="Q531" s="224"/>
    </row>
    <row r="532" spans="1:17" s="104" customFormat="1" ht="24.75" hidden="1" customHeight="1" x14ac:dyDescent="0.3">
      <c r="A532" s="101"/>
      <c r="B532" s="102"/>
      <c r="C532" s="102"/>
      <c r="D532" s="102"/>
      <c r="E532" s="102"/>
      <c r="F532" s="103"/>
      <c r="G532" s="143" t="s">
        <v>1</v>
      </c>
      <c r="H532" s="143"/>
      <c r="I532" s="144"/>
      <c r="J532" s="145">
        <v>800</v>
      </c>
      <c r="K532" s="146"/>
      <c r="L532" s="146"/>
      <c r="M532" s="243"/>
      <c r="N532" s="49"/>
      <c r="O532" s="218"/>
      <c r="P532" s="224"/>
      <c r="Q532" s="224"/>
    </row>
    <row r="533" spans="1:17" ht="37.5" hidden="1" customHeight="1" x14ac:dyDescent="0.3">
      <c r="A533" s="4"/>
      <c r="B533" s="17"/>
      <c r="C533" s="17"/>
      <c r="D533" s="17"/>
      <c r="E533" s="17"/>
      <c r="F533" s="18"/>
      <c r="G533" s="147" t="s">
        <v>356</v>
      </c>
      <c r="H533" s="143"/>
      <c r="I533" s="64" t="s">
        <v>358</v>
      </c>
      <c r="J533" s="145"/>
      <c r="K533" s="146">
        <f>K534</f>
        <v>0</v>
      </c>
      <c r="L533" s="146"/>
      <c r="M533" s="243">
        <f>M534</f>
        <v>0</v>
      </c>
      <c r="N533" s="49"/>
      <c r="O533" s="218"/>
      <c r="P533" s="224"/>
      <c r="Q533" s="224"/>
    </row>
    <row r="534" spans="1:17" ht="39.75" hidden="1" customHeight="1" x14ac:dyDescent="0.3">
      <c r="A534" s="4"/>
      <c r="B534" s="17"/>
      <c r="C534" s="17"/>
      <c r="D534" s="17"/>
      <c r="E534" s="17"/>
      <c r="F534" s="18"/>
      <c r="G534" s="143" t="s">
        <v>357</v>
      </c>
      <c r="H534" s="143"/>
      <c r="I534" s="47" t="s">
        <v>359</v>
      </c>
      <c r="J534" s="145"/>
      <c r="K534" s="146">
        <f>K535</f>
        <v>0</v>
      </c>
      <c r="L534" s="146"/>
      <c r="M534" s="243">
        <f>M535</f>
        <v>0</v>
      </c>
      <c r="N534" s="49"/>
      <c r="O534" s="218"/>
      <c r="P534" s="224"/>
      <c r="Q534" s="224"/>
    </row>
    <row r="535" spans="1:17" ht="33.75" hidden="1" customHeight="1" x14ac:dyDescent="0.3">
      <c r="A535" s="4"/>
      <c r="B535" s="17"/>
      <c r="C535" s="17"/>
      <c r="D535" s="17"/>
      <c r="E535" s="17"/>
      <c r="F535" s="18"/>
      <c r="G535" s="143" t="s">
        <v>2</v>
      </c>
      <c r="H535" s="143"/>
      <c r="I535" s="144"/>
      <c r="J535" s="145">
        <v>200</v>
      </c>
      <c r="K535" s="146">
        <v>0</v>
      </c>
      <c r="L535" s="146"/>
      <c r="M535" s="243">
        <v>0</v>
      </c>
      <c r="N535" s="49"/>
      <c r="O535" s="218"/>
      <c r="P535" s="224"/>
      <c r="Q535" s="224"/>
    </row>
    <row r="536" spans="1:17" ht="36.75" hidden="1" customHeight="1" x14ac:dyDescent="0.3">
      <c r="A536" s="4"/>
      <c r="B536" s="17"/>
      <c r="C536" s="17"/>
      <c r="D536" s="17"/>
      <c r="E536" s="17"/>
      <c r="F536" s="18"/>
      <c r="G536" s="114" t="s">
        <v>515</v>
      </c>
      <c r="H536" s="114"/>
      <c r="I536" s="60" t="s">
        <v>328</v>
      </c>
      <c r="J536" s="115"/>
      <c r="K536" s="116">
        <f t="shared" ref="K536:M537" si="44">K537</f>
        <v>0</v>
      </c>
      <c r="L536" s="116">
        <f t="shared" si="44"/>
        <v>0</v>
      </c>
      <c r="M536" s="235">
        <f t="shared" si="44"/>
        <v>24000</v>
      </c>
      <c r="N536" s="116"/>
      <c r="O536" s="218"/>
      <c r="P536" s="224"/>
      <c r="Q536" s="224"/>
    </row>
    <row r="537" spans="1:17" ht="46.8" hidden="1" x14ac:dyDescent="0.3">
      <c r="A537" s="4"/>
      <c r="B537" s="17"/>
      <c r="C537" s="17"/>
      <c r="D537" s="17"/>
      <c r="E537" s="17"/>
      <c r="F537" s="18"/>
      <c r="G537" s="117" t="s">
        <v>516</v>
      </c>
      <c r="H537" s="117"/>
      <c r="I537" s="47" t="s">
        <v>329</v>
      </c>
      <c r="J537" s="118"/>
      <c r="K537" s="119">
        <f t="shared" si="44"/>
        <v>0</v>
      </c>
      <c r="L537" s="119">
        <f t="shared" si="44"/>
        <v>0</v>
      </c>
      <c r="M537" s="236">
        <f t="shared" si="44"/>
        <v>24000</v>
      </c>
      <c r="N537" s="119"/>
      <c r="O537" s="218"/>
      <c r="P537" s="224"/>
      <c r="Q537" s="224"/>
    </row>
    <row r="538" spans="1:17" ht="53.25" hidden="1" customHeight="1" x14ac:dyDescent="0.3">
      <c r="A538" s="39"/>
      <c r="B538" s="17"/>
      <c r="C538" s="17"/>
      <c r="D538" s="17"/>
      <c r="E538" s="17"/>
      <c r="F538" s="18"/>
      <c r="G538" s="120" t="s">
        <v>448</v>
      </c>
      <c r="H538" s="120"/>
      <c r="I538" s="64" t="s">
        <v>330</v>
      </c>
      <c r="J538" s="118"/>
      <c r="K538" s="119">
        <f>K539+K541</f>
        <v>0</v>
      </c>
      <c r="L538" s="119">
        <f>L539+L541</f>
        <v>0</v>
      </c>
      <c r="M538" s="236">
        <f>M539+M541</f>
        <v>24000</v>
      </c>
      <c r="N538" s="119"/>
      <c r="O538" s="218"/>
      <c r="P538" s="224"/>
      <c r="Q538" s="224"/>
    </row>
    <row r="539" spans="1:17" ht="53.25" hidden="1" customHeight="1" x14ac:dyDescent="0.3">
      <c r="A539" s="39"/>
      <c r="B539" s="17"/>
      <c r="C539" s="17"/>
      <c r="D539" s="17"/>
      <c r="E539" s="17"/>
      <c r="F539" s="18"/>
      <c r="G539" s="117" t="s">
        <v>517</v>
      </c>
      <c r="H539" s="117"/>
      <c r="I539" s="47" t="s">
        <v>331</v>
      </c>
      <c r="J539" s="118"/>
      <c r="K539" s="119">
        <f>K540</f>
        <v>0</v>
      </c>
      <c r="L539" s="119"/>
      <c r="M539" s="236">
        <f>M540</f>
        <v>24000</v>
      </c>
      <c r="N539" s="119"/>
      <c r="O539" s="218"/>
      <c r="P539" s="224"/>
      <c r="Q539" s="224"/>
    </row>
    <row r="540" spans="1:17" ht="24.75" hidden="1" customHeight="1" x14ac:dyDescent="0.3">
      <c r="A540" s="39"/>
      <c r="B540" s="17"/>
      <c r="C540" s="17"/>
      <c r="D540" s="17"/>
      <c r="E540" s="17"/>
      <c r="F540" s="18"/>
      <c r="G540" s="117" t="s">
        <v>1</v>
      </c>
      <c r="H540" s="117"/>
      <c r="I540" s="118"/>
      <c r="J540" s="118">
        <v>800</v>
      </c>
      <c r="K540" s="119"/>
      <c r="L540" s="119"/>
      <c r="M540" s="236">
        <v>24000</v>
      </c>
      <c r="N540" s="119"/>
      <c r="O540" s="218"/>
      <c r="P540" s="224"/>
      <c r="Q540" s="224"/>
    </row>
    <row r="541" spans="1:17" ht="64.349999999999994" hidden="1" customHeight="1" x14ac:dyDescent="0.3">
      <c r="A541" s="39"/>
      <c r="B541" s="17"/>
      <c r="C541" s="17"/>
      <c r="D541" s="17"/>
      <c r="E541" s="17"/>
      <c r="F541" s="18"/>
      <c r="G541" s="195" t="s">
        <v>480</v>
      </c>
      <c r="H541" s="195"/>
      <c r="I541" s="47" t="s">
        <v>481</v>
      </c>
      <c r="J541" s="196"/>
      <c r="K541" s="197">
        <f>K542</f>
        <v>0</v>
      </c>
      <c r="L541" s="197">
        <f>L542</f>
        <v>0</v>
      </c>
      <c r="M541" s="244">
        <f>M542</f>
        <v>0</v>
      </c>
      <c r="N541" s="119"/>
      <c r="O541" s="218"/>
      <c r="P541" s="224"/>
      <c r="Q541" s="224"/>
    </row>
    <row r="542" spans="1:17" ht="24.75" hidden="1" customHeight="1" x14ac:dyDescent="0.3">
      <c r="A542" s="39"/>
      <c r="B542" s="17"/>
      <c r="C542" s="17"/>
      <c r="D542" s="17"/>
      <c r="E542" s="17"/>
      <c r="F542" s="18"/>
      <c r="G542" s="195" t="s">
        <v>1</v>
      </c>
      <c r="H542" s="195"/>
      <c r="I542" s="118"/>
      <c r="J542" s="196">
        <v>800</v>
      </c>
      <c r="K542" s="197"/>
      <c r="L542" s="197"/>
      <c r="M542" s="244">
        <f>K542+L542</f>
        <v>0</v>
      </c>
      <c r="N542" s="119"/>
      <c r="O542" s="218"/>
      <c r="P542" s="224"/>
      <c r="Q542" s="224"/>
    </row>
    <row r="543" spans="1:17" ht="31.2" hidden="1" x14ac:dyDescent="0.3">
      <c r="A543" s="39"/>
      <c r="B543" s="260"/>
      <c r="C543" s="260"/>
      <c r="D543" s="260"/>
      <c r="E543" s="260"/>
      <c r="F543" s="261"/>
      <c r="G543" s="114" t="s">
        <v>515</v>
      </c>
      <c r="H543" s="195"/>
      <c r="I543" s="60" t="s">
        <v>328</v>
      </c>
      <c r="J543" s="115"/>
      <c r="K543" s="197"/>
      <c r="L543" s="197"/>
      <c r="M543" s="244"/>
      <c r="N543" s="119"/>
      <c r="O543" s="251">
        <f t="shared" ref="O543:O544" si="45">O544</f>
        <v>0</v>
      </c>
      <c r="P543" s="265"/>
      <c r="Q543" s="265"/>
    </row>
    <row r="544" spans="1:17" ht="46.8" hidden="1" x14ac:dyDescent="0.3">
      <c r="A544" s="39"/>
      <c r="B544" s="260"/>
      <c r="C544" s="260"/>
      <c r="D544" s="260"/>
      <c r="E544" s="260"/>
      <c r="F544" s="261"/>
      <c r="G544" s="117" t="s">
        <v>516</v>
      </c>
      <c r="H544" s="195"/>
      <c r="I544" s="47" t="s">
        <v>329</v>
      </c>
      <c r="J544" s="118"/>
      <c r="K544" s="197"/>
      <c r="L544" s="197"/>
      <c r="M544" s="244"/>
      <c r="N544" s="119"/>
      <c r="O544" s="218">
        <f t="shared" si="45"/>
        <v>0</v>
      </c>
      <c r="P544" s="224"/>
      <c r="Q544" s="224"/>
    </row>
    <row r="545" spans="1:17" ht="46.8" hidden="1" x14ac:dyDescent="0.3">
      <c r="A545" s="39"/>
      <c r="B545" s="260"/>
      <c r="C545" s="260"/>
      <c r="D545" s="260"/>
      <c r="E545" s="260"/>
      <c r="F545" s="261"/>
      <c r="G545" s="120" t="s">
        <v>448</v>
      </c>
      <c r="H545" s="195"/>
      <c r="I545" s="64" t="s">
        <v>330</v>
      </c>
      <c r="J545" s="118"/>
      <c r="K545" s="197"/>
      <c r="L545" s="197"/>
      <c r="M545" s="244"/>
      <c r="N545" s="119"/>
      <c r="O545" s="218">
        <f>O546+O548</f>
        <v>0</v>
      </c>
      <c r="P545" s="224"/>
      <c r="Q545" s="224"/>
    </row>
    <row r="546" spans="1:17" ht="62.4" hidden="1" x14ac:dyDescent="0.3">
      <c r="A546" s="39"/>
      <c r="B546" s="260"/>
      <c r="C546" s="260"/>
      <c r="D546" s="260"/>
      <c r="E546" s="260"/>
      <c r="F546" s="261"/>
      <c r="G546" s="117" t="s">
        <v>582</v>
      </c>
      <c r="H546" s="195"/>
      <c r="I546" s="47" t="s">
        <v>583</v>
      </c>
      <c r="J546" s="118"/>
      <c r="K546" s="197"/>
      <c r="L546" s="197"/>
      <c r="M546" s="244"/>
      <c r="N546" s="119"/>
      <c r="O546" s="218">
        <f>O547</f>
        <v>0</v>
      </c>
      <c r="P546" s="224"/>
      <c r="Q546" s="224"/>
    </row>
    <row r="547" spans="1:17" hidden="1" x14ac:dyDescent="0.3">
      <c r="A547" s="39"/>
      <c r="B547" s="260"/>
      <c r="C547" s="260"/>
      <c r="D547" s="260"/>
      <c r="E547" s="260"/>
      <c r="F547" s="261"/>
      <c r="G547" s="117" t="s">
        <v>1</v>
      </c>
      <c r="H547" s="195"/>
      <c r="I547" s="118"/>
      <c r="J547" s="118">
        <v>800</v>
      </c>
      <c r="K547" s="197"/>
      <c r="L547" s="197"/>
      <c r="M547" s="244"/>
      <c r="N547" s="119"/>
      <c r="O547" s="218"/>
      <c r="P547" s="224"/>
      <c r="Q547" s="224"/>
    </row>
    <row r="548" spans="1:17" ht="62.4" hidden="1" x14ac:dyDescent="0.3">
      <c r="A548" s="39"/>
      <c r="B548" s="260"/>
      <c r="C548" s="260"/>
      <c r="D548" s="260"/>
      <c r="E548" s="260"/>
      <c r="F548" s="261"/>
      <c r="G548" s="139" t="s">
        <v>480</v>
      </c>
      <c r="H548" s="195"/>
      <c r="I548" s="47" t="s">
        <v>481</v>
      </c>
      <c r="J548" s="196"/>
      <c r="K548" s="197"/>
      <c r="L548" s="197"/>
      <c r="M548" s="244"/>
      <c r="N548" s="119"/>
      <c r="O548" s="218">
        <f>O549</f>
        <v>0</v>
      </c>
      <c r="P548" s="224"/>
      <c r="Q548" s="224"/>
    </row>
    <row r="549" spans="1:17" hidden="1" x14ac:dyDescent="0.3">
      <c r="A549" s="39"/>
      <c r="B549" s="260"/>
      <c r="C549" s="260"/>
      <c r="D549" s="260"/>
      <c r="E549" s="260"/>
      <c r="F549" s="261"/>
      <c r="G549" s="117" t="s">
        <v>1</v>
      </c>
      <c r="H549" s="195"/>
      <c r="I549" s="118"/>
      <c r="J549" s="196">
        <v>800</v>
      </c>
      <c r="K549" s="197"/>
      <c r="L549" s="197"/>
      <c r="M549" s="244"/>
      <c r="N549" s="119"/>
      <c r="O549" s="218"/>
      <c r="P549" s="224"/>
      <c r="Q549" s="224"/>
    </row>
    <row r="550" spans="1:17" ht="31.2" x14ac:dyDescent="0.3">
      <c r="A550" s="39"/>
      <c r="B550" s="309"/>
      <c r="C550" s="309"/>
      <c r="D550" s="309"/>
      <c r="E550" s="309"/>
      <c r="F550" s="310"/>
      <c r="G550" s="316" t="s">
        <v>652</v>
      </c>
      <c r="H550" s="195"/>
      <c r="I550" s="313" t="s">
        <v>328</v>
      </c>
      <c r="J550" s="196"/>
      <c r="K550" s="197"/>
      <c r="L550" s="197"/>
      <c r="M550" s="244"/>
      <c r="N550" s="119"/>
      <c r="O550" s="218">
        <f>O551</f>
        <v>0</v>
      </c>
      <c r="P550" s="224"/>
      <c r="Q550" s="224"/>
    </row>
    <row r="551" spans="1:17" ht="46.8" x14ac:dyDescent="0.3">
      <c r="A551" s="39"/>
      <c r="B551" s="309"/>
      <c r="C551" s="309"/>
      <c r="D551" s="309"/>
      <c r="E551" s="309"/>
      <c r="F551" s="310"/>
      <c r="G551" s="314" t="s">
        <v>651</v>
      </c>
      <c r="H551" s="195"/>
      <c r="I551" s="313" t="s">
        <v>329</v>
      </c>
      <c r="J551" s="196"/>
      <c r="K551" s="197"/>
      <c r="L551" s="197"/>
      <c r="M551" s="244"/>
      <c r="N551" s="119"/>
      <c r="O551" s="218">
        <f>O552</f>
        <v>0</v>
      </c>
      <c r="P551" s="224"/>
      <c r="Q551" s="224"/>
    </row>
    <row r="552" spans="1:17" ht="46.8" x14ac:dyDescent="0.3">
      <c r="A552" s="39"/>
      <c r="B552" s="309"/>
      <c r="C552" s="309"/>
      <c r="D552" s="309"/>
      <c r="E552" s="309"/>
      <c r="F552" s="310"/>
      <c r="G552" s="315" t="s">
        <v>448</v>
      </c>
      <c r="H552" s="195"/>
      <c r="I552" s="214" t="s">
        <v>330</v>
      </c>
      <c r="J552" s="196"/>
      <c r="K552" s="197"/>
      <c r="L552" s="197"/>
      <c r="M552" s="244"/>
      <c r="N552" s="119"/>
      <c r="O552" s="218">
        <f>O553+O555</f>
        <v>0</v>
      </c>
      <c r="P552" s="224"/>
      <c r="Q552" s="224"/>
    </row>
    <row r="553" spans="1:17" ht="62.4" x14ac:dyDescent="0.3">
      <c r="A553" s="39"/>
      <c r="B553" s="309"/>
      <c r="C553" s="309"/>
      <c r="D553" s="309"/>
      <c r="E553" s="309"/>
      <c r="F553" s="310"/>
      <c r="G553" s="314" t="s">
        <v>650</v>
      </c>
      <c r="H553" s="195"/>
      <c r="I553" s="3" t="s">
        <v>583</v>
      </c>
      <c r="J553" s="196"/>
      <c r="K553" s="197"/>
      <c r="L553" s="197"/>
      <c r="M553" s="244"/>
      <c r="N553" s="119"/>
      <c r="O553" s="218">
        <f>O554</f>
        <v>0</v>
      </c>
      <c r="P553" s="224"/>
      <c r="Q553" s="224"/>
    </row>
    <row r="554" spans="1:17" x14ac:dyDescent="0.3">
      <c r="A554" s="39"/>
      <c r="B554" s="309"/>
      <c r="C554" s="309"/>
      <c r="D554" s="309"/>
      <c r="E554" s="309"/>
      <c r="F554" s="310"/>
      <c r="G554" s="14" t="s">
        <v>1</v>
      </c>
      <c r="H554" s="195"/>
      <c r="I554" s="118"/>
      <c r="J554" s="196">
        <v>800</v>
      </c>
      <c r="K554" s="197"/>
      <c r="L554" s="197"/>
      <c r="M554" s="244"/>
      <c r="N554" s="119"/>
      <c r="O554" s="218"/>
      <c r="P554" s="224"/>
      <c r="Q554" s="224"/>
    </row>
    <row r="555" spans="1:17" ht="62.4" x14ac:dyDescent="0.3">
      <c r="A555" s="39"/>
      <c r="B555" s="309"/>
      <c r="C555" s="309"/>
      <c r="D555" s="309"/>
      <c r="E555" s="309"/>
      <c r="F555" s="310"/>
      <c r="G555" s="314" t="s">
        <v>480</v>
      </c>
      <c r="H555" s="195"/>
      <c r="I555" s="3" t="s">
        <v>481</v>
      </c>
      <c r="J555" s="196"/>
      <c r="K555" s="197"/>
      <c r="L555" s="197"/>
      <c r="M555" s="244"/>
      <c r="N555" s="119"/>
      <c r="O555" s="218">
        <f>O556</f>
        <v>0</v>
      </c>
      <c r="P555" s="224"/>
      <c r="Q555" s="224"/>
    </row>
    <row r="556" spans="1:17" x14ac:dyDescent="0.3">
      <c r="A556" s="39"/>
      <c r="B556" s="309"/>
      <c r="C556" s="309"/>
      <c r="D556" s="309"/>
      <c r="E556" s="309"/>
      <c r="F556" s="310"/>
      <c r="G556" s="14" t="s">
        <v>1</v>
      </c>
      <c r="H556" s="195"/>
      <c r="I556" s="118"/>
      <c r="J556" s="196">
        <v>800</v>
      </c>
      <c r="K556" s="197"/>
      <c r="L556" s="197"/>
      <c r="M556" s="244"/>
      <c r="N556" s="119"/>
      <c r="O556" s="218"/>
      <c r="P556" s="224"/>
      <c r="Q556" s="224"/>
    </row>
    <row r="557" spans="1:17" ht="51" customHeight="1" x14ac:dyDescent="0.3">
      <c r="A557" s="39"/>
      <c r="B557" s="17"/>
      <c r="C557" s="17"/>
      <c r="D557" s="17"/>
      <c r="E557" s="17"/>
      <c r="F557" s="18"/>
      <c r="G557" s="316" t="s">
        <v>713</v>
      </c>
      <c r="H557" s="195"/>
      <c r="I557" s="60" t="s">
        <v>501</v>
      </c>
      <c r="J557" s="196"/>
      <c r="K557" s="207">
        <f>K558</f>
        <v>13139527</v>
      </c>
      <c r="L557" s="197"/>
      <c r="M557" s="244"/>
      <c r="N557" s="119">
        <f>N558</f>
        <v>0</v>
      </c>
      <c r="O557" s="251">
        <f>O558</f>
        <v>17699460</v>
      </c>
      <c r="P557" s="265"/>
      <c r="Q557" s="265"/>
    </row>
    <row r="558" spans="1:17" ht="62.4" x14ac:dyDescent="0.3">
      <c r="A558" s="39"/>
      <c r="B558" s="17"/>
      <c r="C558" s="17"/>
      <c r="D558" s="17"/>
      <c r="E558" s="17"/>
      <c r="F558" s="18"/>
      <c r="G558" s="314" t="s">
        <v>714</v>
      </c>
      <c r="H558" s="195"/>
      <c r="I558" s="47" t="s">
        <v>502</v>
      </c>
      <c r="J558" s="196"/>
      <c r="K558" s="197">
        <f>K559+K565</f>
        <v>13139527</v>
      </c>
      <c r="L558" s="197"/>
      <c r="M558" s="244"/>
      <c r="N558" s="119">
        <f>N559+N565</f>
        <v>0</v>
      </c>
      <c r="O558" s="218">
        <f>O559+O572+O577</f>
        <v>17699460</v>
      </c>
      <c r="P558" s="224"/>
      <c r="Q558" s="224"/>
    </row>
    <row r="559" spans="1:17" ht="46.8" x14ac:dyDescent="0.3">
      <c r="A559" s="39"/>
      <c r="B559" s="17"/>
      <c r="C559" s="17"/>
      <c r="D559" s="17"/>
      <c r="E559" s="17"/>
      <c r="F559" s="18"/>
      <c r="G559" s="206" t="s">
        <v>512</v>
      </c>
      <c r="H559" s="195"/>
      <c r="I559" s="64" t="s">
        <v>503</v>
      </c>
      <c r="J559" s="196"/>
      <c r="K559" s="197">
        <f>K563+K560</f>
        <v>9530527</v>
      </c>
      <c r="L559" s="197"/>
      <c r="M559" s="244"/>
      <c r="N559" s="119">
        <f>N563+N560</f>
        <v>0</v>
      </c>
      <c r="O559" s="218">
        <f>O563+O560</f>
        <v>0</v>
      </c>
      <c r="P559" s="224"/>
      <c r="Q559" s="224"/>
    </row>
    <row r="560" spans="1:17" ht="31.2" x14ac:dyDescent="0.3">
      <c r="A560" s="39"/>
      <c r="B560" s="17"/>
      <c r="C560" s="17"/>
      <c r="D560" s="17"/>
      <c r="E560" s="17"/>
      <c r="F560" s="18"/>
      <c r="G560" s="51" t="s">
        <v>509</v>
      </c>
      <c r="H560" s="195"/>
      <c r="I560" s="47" t="s">
        <v>510</v>
      </c>
      <c r="J560" s="196"/>
      <c r="K560" s="197">
        <f>K561+K562</f>
        <v>2376527</v>
      </c>
      <c r="L560" s="197"/>
      <c r="M560" s="244"/>
      <c r="N560" s="119">
        <f>N561+N562</f>
        <v>0</v>
      </c>
      <c r="O560" s="218">
        <f>O561+O562</f>
        <v>0</v>
      </c>
      <c r="P560" s="224"/>
      <c r="Q560" s="224"/>
    </row>
    <row r="561" spans="1:17" ht="31.2" x14ac:dyDescent="0.3">
      <c r="A561" s="39"/>
      <c r="B561" s="17"/>
      <c r="C561" s="17"/>
      <c r="D561" s="17"/>
      <c r="E561" s="17"/>
      <c r="F561" s="18"/>
      <c r="G561" s="51" t="s">
        <v>10</v>
      </c>
      <c r="H561" s="195"/>
      <c r="I561" s="64"/>
      <c r="J561" s="196">
        <v>400</v>
      </c>
      <c r="K561" s="197">
        <v>376527</v>
      </c>
      <c r="L561" s="197"/>
      <c r="M561" s="244"/>
      <c r="N561" s="119"/>
      <c r="O561" s="271">
        <v>0</v>
      </c>
      <c r="P561" s="224"/>
      <c r="Q561" s="224"/>
    </row>
    <row r="562" spans="1:17" hidden="1" x14ac:dyDescent="0.3">
      <c r="A562" s="39"/>
      <c r="B562" s="225"/>
      <c r="C562" s="225"/>
      <c r="D562" s="225"/>
      <c r="E562" s="225"/>
      <c r="F562" s="226"/>
      <c r="G562" s="51" t="s">
        <v>1</v>
      </c>
      <c r="H562" s="195"/>
      <c r="I562" s="64"/>
      <c r="J562" s="196">
        <v>800</v>
      </c>
      <c r="K562" s="197">
        <v>2000000</v>
      </c>
      <c r="L562" s="197"/>
      <c r="M562" s="244"/>
      <c r="N562" s="119"/>
      <c r="O562" s="218">
        <v>0</v>
      </c>
      <c r="P562" s="224"/>
      <c r="Q562" s="224"/>
    </row>
    <row r="563" spans="1:17" ht="31.2" x14ac:dyDescent="0.3">
      <c r="A563" s="39"/>
      <c r="B563" s="17"/>
      <c r="C563" s="17"/>
      <c r="D563" s="17"/>
      <c r="E563" s="17"/>
      <c r="F563" s="18"/>
      <c r="G563" s="195" t="s">
        <v>511</v>
      </c>
      <c r="H563" s="195"/>
      <c r="I563" s="47" t="s">
        <v>504</v>
      </c>
      <c r="J563" s="196"/>
      <c r="K563" s="197">
        <f>K564</f>
        <v>7154000</v>
      </c>
      <c r="L563" s="197"/>
      <c r="M563" s="244"/>
      <c r="N563" s="119">
        <f>N564</f>
        <v>0</v>
      </c>
      <c r="O563" s="218">
        <f>O564</f>
        <v>0</v>
      </c>
      <c r="P563" s="224"/>
      <c r="Q563" s="224"/>
    </row>
    <row r="564" spans="1:17" ht="31.2" x14ac:dyDescent="0.3">
      <c r="A564" s="39"/>
      <c r="B564" s="17"/>
      <c r="C564" s="17"/>
      <c r="D564" s="17"/>
      <c r="E564" s="17"/>
      <c r="F564" s="18"/>
      <c r="G564" s="51" t="s">
        <v>10</v>
      </c>
      <c r="H564" s="195"/>
      <c r="I564" s="118"/>
      <c r="J564" s="196">
        <v>400</v>
      </c>
      <c r="K564" s="197">
        <v>7154000</v>
      </c>
      <c r="L564" s="197"/>
      <c r="M564" s="244"/>
      <c r="N564" s="119"/>
      <c r="O564" s="218"/>
      <c r="P564" s="224"/>
      <c r="Q564" s="224"/>
    </row>
    <row r="565" spans="1:17" ht="31.2" hidden="1" x14ac:dyDescent="0.3">
      <c r="A565" s="39"/>
      <c r="B565" s="225"/>
      <c r="C565" s="225"/>
      <c r="D565" s="225"/>
      <c r="E565" s="225"/>
      <c r="F565" s="226"/>
      <c r="G565" s="276" t="s">
        <v>405</v>
      </c>
      <c r="H565" s="117"/>
      <c r="I565" s="64" t="s">
        <v>551</v>
      </c>
      <c r="J565" s="196"/>
      <c r="K565" s="197">
        <f>K568+K570</f>
        <v>3609000</v>
      </c>
      <c r="L565" s="197"/>
      <c r="M565" s="244"/>
      <c r="N565" s="119">
        <f>N568+N570</f>
        <v>0</v>
      </c>
      <c r="O565" s="218">
        <f>O568+O570+O566</f>
        <v>0</v>
      </c>
      <c r="P565" s="224"/>
      <c r="Q565" s="224"/>
    </row>
    <row r="566" spans="1:17" ht="31.2" hidden="1" x14ac:dyDescent="0.3">
      <c r="A566" s="39"/>
      <c r="B566" s="274"/>
      <c r="C566" s="274"/>
      <c r="D566" s="274"/>
      <c r="E566" s="274"/>
      <c r="F566" s="275"/>
      <c r="G566" s="277" t="s">
        <v>593</v>
      </c>
      <c r="H566" s="195"/>
      <c r="I566" s="47" t="s">
        <v>592</v>
      </c>
      <c r="J566" s="196"/>
      <c r="K566" s="197"/>
      <c r="L566" s="197"/>
      <c r="M566" s="244"/>
      <c r="N566" s="119"/>
      <c r="O566" s="218">
        <f>O567</f>
        <v>0</v>
      </c>
      <c r="P566" s="224"/>
      <c r="Q566" s="224"/>
    </row>
    <row r="567" spans="1:17" ht="31.2" hidden="1" x14ac:dyDescent="0.3">
      <c r="A567" s="39"/>
      <c r="B567" s="274"/>
      <c r="C567" s="274"/>
      <c r="D567" s="274"/>
      <c r="E567" s="274"/>
      <c r="F567" s="275"/>
      <c r="G567" s="51" t="s">
        <v>10</v>
      </c>
      <c r="H567" s="195"/>
      <c r="I567" s="64"/>
      <c r="J567" s="196">
        <v>400</v>
      </c>
      <c r="K567" s="197"/>
      <c r="L567" s="197"/>
      <c r="M567" s="244"/>
      <c r="N567" s="119"/>
      <c r="O567" s="218"/>
      <c r="P567" s="224"/>
      <c r="Q567" s="224"/>
    </row>
    <row r="568" spans="1:17" ht="46.8" hidden="1" x14ac:dyDescent="0.3">
      <c r="A568" s="39"/>
      <c r="B568" s="225"/>
      <c r="C568" s="225"/>
      <c r="D568" s="225"/>
      <c r="E568" s="225"/>
      <c r="F568" s="226"/>
      <c r="G568" s="51" t="s">
        <v>555</v>
      </c>
      <c r="H568" s="195"/>
      <c r="I568" s="47" t="s">
        <v>552</v>
      </c>
      <c r="J568" s="196"/>
      <c r="K568" s="197">
        <f>K569</f>
        <v>181000</v>
      </c>
      <c r="L568" s="197"/>
      <c r="M568" s="244"/>
      <c r="N568" s="119">
        <f>N569</f>
        <v>0</v>
      </c>
      <c r="O568" s="218">
        <f>O569</f>
        <v>0</v>
      </c>
      <c r="P568" s="224"/>
      <c r="Q568" s="224"/>
    </row>
    <row r="569" spans="1:17" ht="31.2" hidden="1" x14ac:dyDescent="0.3">
      <c r="A569" s="39"/>
      <c r="B569" s="225"/>
      <c r="C569" s="225"/>
      <c r="D569" s="225"/>
      <c r="E569" s="225"/>
      <c r="F569" s="226"/>
      <c r="G569" s="51" t="s">
        <v>10</v>
      </c>
      <c r="H569" s="195"/>
      <c r="I569" s="118"/>
      <c r="J569" s="196">
        <v>400</v>
      </c>
      <c r="K569" s="197">
        <v>181000</v>
      </c>
      <c r="L569" s="197"/>
      <c r="M569" s="244"/>
      <c r="N569" s="119"/>
      <c r="O569" s="218"/>
      <c r="P569" s="224"/>
      <c r="Q569" s="224"/>
    </row>
    <row r="570" spans="1:17" ht="31.2" hidden="1" x14ac:dyDescent="0.3">
      <c r="A570" s="39"/>
      <c r="B570" s="225"/>
      <c r="C570" s="225"/>
      <c r="D570" s="225"/>
      <c r="E570" s="225"/>
      <c r="F570" s="226"/>
      <c r="G570" s="139" t="s">
        <v>554</v>
      </c>
      <c r="H570" s="195"/>
      <c r="I570" s="47" t="s">
        <v>553</v>
      </c>
      <c r="J570" s="196"/>
      <c r="K570" s="197">
        <f>K571</f>
        <v>3428000</v>
      </c>
      <c r="L570" s="197"/>
      <c r="M570" s="244"/>
      <c r="N570" s="119">
        <f>N571</f>
        <v>0</v>
      </c>
      <c r="O570" s="218">
        <f>O571</f>
        <v>0</v>
      </c>
      <c r="P570" s="224"/>
      <c r="Q570" s="224"/>
    </row>
    <row r="571" spans="1:17" ht="31.2" hidden="1" x14ac:dyDescent="0.3">
      <c r="A571" s="39"/>
      <c r="B571" s="225"/>
      <c r="C571" s="225"/>
      <c r="D571" s="225"/>
      <c r="E571" s="225"/>
      <c r="F571" s="226"/>
      <c r="G571" s="51" t="s">
        <v>10</v>
      </c>
      <c r="H571" s="195"/>
      <c r="I571" s="118"/>
      <c r="J571" s="196">
        <v>400</v>
      </c>
      <c r="K571" s="197">
        <v>3428000</v>
      </c>
      <c r="L571" s="197"/>
      <c r="M571" s="244"/>
      <c r="N571" s="119"/>
      <c r="O571" s="218"/>
      <c r="P571" s="224"/>
      <c r="Q571" s="224"/>
    </row>
    <row r="572" spans="1:17" ht="46.8" x14ac:dyDescent="0.3">
      <c r="A572" s="39"/>
      <c r="B572" s="292"/>
      <c r="C572" s="292"/>
      <c r="D572" s="292"/>
      <c r="E572" s="292"/>
      <c r="F572" s="293"/>
      <c r="G572" s="299" t="s">
        <v>745</v>
      </c>
      <c r="H572" s="195"/>
      <c r="I572" s="64" t="s">
        <v>551</v>
      </c>
      <c r="J572" s="196"/>
      <c r="K572" s="197"/>
      <c r="L572" s="197"/>
      <c r="M572" s="244"/>
      <c r="N572" s="119"/>
      <c r="O572" s="218">
        <f>O573+O575</f>
        <v>17699460</v>
      </c>
      <c r="P572" s="224"/>
      <c r="Q572" s="224"/>
    </row>
    <row r="573" spans="1:17" ht="46.8" x14ac:dyDescent="0.3">
      <c r="A573" s="39"/>
      <c r="B573" s="292"/>
      <c r="C573" s="292"/>
      <c r="D573" s="292"/>
      <c r="E573" s="292"/>
      <c r="F573" s="293"/>
      <c r="G573" s="51" t="s">
        <v>555</v>
      </c>
      <c r="H573" s="195"/>
      <c r="I573" s="47" t="s">
        <v>552</v>
      </c>
      <c r="J573" s="196"/>
      <c r="K573" s="197"/>
      <c r="L573" s="197"/>
      <c r="M573" s="244"/>
      <c r="N573" s="119"/>
      <c r="O573" s="218">
        <f>O574</f>
        <v>1199460</v>
      </c>
      <c r="P573" s="224"/>
      <c r="Q573" s="224"/>
    </row>
    <row r="574" spans="1:17" ht="31.2" x14ac:dyDescent="0.3">
      <c r="A574" s="39"/>
      <c r="B574" s="292"/>
      <c r="C574" s="292"/>
      <c r="D574" s="292"/>
      <c r="E574" s="292"/>
      <c r="F574" s="293"/>
      <c r="G574" s="51" t="s">
        <v>10</v>
      </c>
      <c r="H574" s="195"/>
      <c r="I574" s="118"/>
      <c r="J574" s="196">
        <v>400</v>
      </c>
      <c r="K574" s="197"/>
      <c r="L574" s="197"/>
      <c r="M574" s="244"/>
      <c r="N574" s="119"/>
      <c r="O574" s="271">
        <v>1199460</v>
      </c>
      <c r="P574" s="224"/>
      <c r="Q574" s="224"/>
    </row>
    <row r="575" spans="1:17" ht="31.2" x14ac:dyDescent="0.3">
      <c r="A575" s="39"/>
      <c r="B575" s="292"/>
      <c r="C575" s="292"/>
      <c r="D575" s="292"/>
      <c r="E575" s="292"/>
      <c r="F575" s="293"/>
      <c r="G575" s="139" t="s">
        <v>554</v>
      </c>
      <c r="H575" s="195"/>
      <c r="I575" s="47" t="s">
        <v>553</v>
      </c>
      <c r="J575" s="196"/>
      <c r="K575" s="197"/>
      <c r="L575" s="197"/>
      <c r="M575" s="244"/>
      <c r="N575" s="119"/>
      <c r="O575" s="218">
        <f>O576</f>
        <v>16500000</v>
      </c>
      <c r="P575" s="224"/>
      <c r="Q575" s="224"/>
    </row>
    <row r="576" spans="1:17" ht="31.2" x14ac:dyDescent="0.3">
      <c r="A576" s="39"/>
      <c r="B576" s="292"/>
      <c r="C576" s="292"/>
      <c r="D576" s="292"/>
      <c r="E576" s="292"/>
      <c r="F576" s="293"/>
      <c r="G576" s="51" t="s">
        <v>10</v>
      </c>
      <c r="H576" s="195"/>
      <c r="I576" s="118"/>
      <c r="J576" s="196">
        <v>400</v>
      </c>
      <c r="K576" s="197"/>
      <c r="L576" s="197"/>
      <c r="M576" s="244"/>
      <c r="N576" s="119"/>
      <c r="O576" s="271">
        <v>16500000</v>
      </c>
      <c r="P576" s="224"/>
      <c r="Q576" s="224"/>
    </row>
    <row r="577" spans="1:17" ht="31.2" x14ac:dyDescent="0.3">
      <c r="A577" s="39"/>
      <c r="B577" s="302"/>
      <c r="C577" s="302"/>
      <c r="D577" s="302"/>
      <c r="E577" s="302"/>
      <c r="F577" s="303"/>
      <c r="G577" s="308" t="s">
        <v>646</v>
      </c>
      <c r="H577" s="195"/>
      <c r="I577" s="64" t="s">
        <v>645</v>
      </c>
      <c r="J577" s="196"/>
      <c r="K577" s="197"/>
      <c r="L577" s="197"/>
      <c r="M577" s="244"/>
      <c r="N577" s="119"/>
      <c r="O577" s="271">
        <f>O578</f>
        <v>0</v>
      </c>
      <c r="P577" s="224"/>
      <c r="Q577" s="224"/>
    </row>
    <row r="578" spans="1:17" ht="31.2" x14ac:dyDescent="0.3">
      <c r="A578" s="39"/>
      <c r="B578" s="302"/>
      <c r="C578" s="302"/>
      <c r="D578" s="302"/>
      <c r="E578" s="302"/>
      <c r="F578" s="303"/>
      <c r="G578" s="307" t="s">
        <v>647</v>
      </c>
      <c r="H578" s="195"/>
      <c r="I578" s="3" t="s">
        <v>642</v>
      </c>
      <c r="J578" s="196"/>
      <c r="K578" s="197"/>
      <c r="L578" s="197"/>
      <c r="M578" s="244"/>
      <c r="N578" s="119"/>
      <c r="O578" s="271">
        <f>O579</f>
        <v>0</v>
      </c>
      <c r="P578" s="224"/>
      <c r="Q578" s="224"/>
    </row>
    <row r="579" spans="1:17" ht="31.2" x14ac:dyDescent="0.3">
      <c r="A579" s="39"/>
      <c r="B579" s="302"/>
      <c r="C579" s="302"/>
      <c r="D579" s="302"/>
      <c r="E579" s="302"/>
      <c r="F579" s="303"/>
      <c r="G579" s="51" t="s">
        <v>2</v>
      </c>
      <c r="H579" s="195"/>
      <c r="I579" s="118"/>
      <c r="J579" s="196">
        <v>200</v>
      </c>
      <c r="K579" s="197"/>
      <c r="L579" s="197"/>
      <c r="M579" s="244"/>
      <c r="N579" s="119"/>
      <c r="O579" s="271"/>
      <c r="P579" s="224"/>
      <c r="Q579" s="224"/>
    </row>
    <row r="580" spans="1:17" ht="46.8" x14ac:dyDescent="0.3">
      <c r="A580" s="39"/>
      <c r="B580" s="17"/>
      <c r="C580" s="17"/>
      <c r="D580" s="17"/>
      <c r="E580" s="17"/>
      <c r="F580" s="18"/>
      <c r="G580" s="332" t="s">
        <v>715</v>
      </c>
      <c r="H580" s="59"/>
      <c r="I580" s="60" t="s">
        <v>273</v>
      </c>
      <c r="J580" s="61" t="s">
        <v>0</v>
      </c>
      <c r="K580" s="62">
        <f t="shared" ref="K580:O580" si="46">K581+K591</f>
        <v>9479483</v>
      </c>
      <c r="L580" s="62">
        <f t="shared" si="46"/>
        <v>309969</v>
      </c>
      <c r="M580" s="237">
        <f t="shared" si="46"/>
        <v>9739452</v>
      </c>
      <c r="N580" s="127">
        <f t="shared" si="46"/>
        <v>0</v>
      </c>
      <c r="O580" s="251">
        <f t="shared" si="46"/>
        <v>13066653</v>
      </c>
      <c r="P580" s="265"/>
      <c r="Q580" s="265"/>
    </row>
    <row r="581" spans="1:17" ht="31.2" x14ac:dyDescent="0.3">
      <c r="A581" s="39"/>
      <c r="B581" s="17"/>
      <c r="C581" s="17"/>
      <c r="D581" s="17"/>
      <c r="E581" s="17"/>
      <c r="F581" s="18"/>
      <c r="G581" s="14" t="s">
        <v>716</v>
      </c>
      <c r="H581" s="121"/>
      <c r="I581" s="47" t="s">
        <v>274</v>
      </c>
      <c r="J581" s="48" t="s">
        <v>0</v>
      </c>
      <c r="K581" s="49">
        <f>K582</f>
        <v>200000</v>
      </c>
      <c r="L581" s="49"/>
      <c r="M581" s="238">
        <f>M582</f>
        <v>150000</v>
      </c>
      <c r="N581" s="49">
        <f>N582</f>
        <v>0</v>
      </c>
      <c r="O581" s="218">
        <f>O582</f>
        <v>300000</v>
      </c>
      <c r="P581" s="224"/>
      <c r="Q581" s="224"/>
    </row>
    <row r="582" spans="1:17" ht="46.8" x14ac:dyDescent="0.3">
      <c r="A582" s="39"/>
      <c r="B582" s="17"/>
      <c r="C582" s="17"/>
      <c r="D582" s="17"/>
      <c r="E582" s="17"/>
      <c r="F582" s="18"/>
      <c r="G582" s="63" t="s">
        <v>276</v>
      </c>
      <c r="H582" s="63"/>
      <c r="I582" s="64" t="s">
        <v>275</v>
      </c>
      <c r="J582" s="48"/>
      <c r="K582" s="49">
        <f>K583+K585</f>
        <v>200000</v>
      </c>
      <c r="L582" s="49"/>
      <c r="M582" s="238">
        <f>M583+M585</f>
        <v>150000</v>
      </c>
      <c r="N582" s="49">
        <f>N583+N585</f>
        <v>0</v>
      </c>
      <c r="O582" s="218">
        <f>O583+O587+O589</f>
        <v>300000</v>
      </c>
      <c r="P582" s="224"/>
      <c r="Q582" s="224"/>
    </row>
    <row r="583" spans="1:17" ht="46.8" x14ac:dyDescent="0.3">
      <c r="A583" s="39"/>
      <c r="B583" s="17"/>
      <c r="C583" s="17"/>
      <c r="D583" s="17"/>
      <c r="E583" s="17"/>
      <c r="F583" s="18"/>
      <c r="G583" s="14" t="s">
        <v>717</v>
      </c>
      <c r="H583" s="51"/>
      <c r="I583" s="47" t="s">
        <v>277</v>
      </c>
      <c r="J583" s="48" t="s">
        <v>0</v>
      </c>
      <c r="K583" s="49">
        <f>K584</f>
        <v>200000</v>
      </c>
      <c r="L583" s="49"/>
      <c r="M583" s="238">
        <f>M584</f>
        <v>150000</v>
      </c>
      <c r="N583" s="49">
        <f>N584</f>
        <v>0</v>
      </c>
      <c r="O583" s="218">
        <f>O584</f>
        <v>300000</v>
      </c>
      <c r="P583" s="224"/>
      <c r="Q583" s="224"/>
    </row>
    <row r="584" spans="1:17" ht="31.2" x14ac:dyDescent="0.25">
      <c r="G584" s="51" t="s">
        <v>2</v>
      </c>
      <c r="H584" s="51"/>
      <c r="I584" s="47" t="s">
        <v>0</v>
      </c>
      <c r="J584" s="48">
        <v>200</v>
      </c>
      <c r="K584" s="49">
        <v>200000</v>
      </c>
      <c r="L584" s="49"/>
      <c r="M584" s="238">
        <v>150000</v>
      </c>
      <c r="N584" s="49"/>
      <c r="O584" s="271">
        <v>300000</v>
      </c>
      <c r="P584" s="224"/>
      <c r="Q584" s="224"/>
    </row>
    <row r="585" spans="1:17" ht="46.8" hidden="1" x14ac:dyDescent="0.25">
      <c r="G585" s="51" t="s">
        <v>375</v>
      </c>
      <c r="H585" s="51"/>
      <c r="I585" s="47" t="s">
        <v>374</v>
      </c>
      <c r="J585" s="48"/>
      <c r="K585" s="49">
        <f>K586</f>
        <v>0</v>
      </c>
      <c r="L585" s="49"/>
      <c r="M585" s="238">
        <f>M586</f>
        <v>0</v>
      </c>
      <c r="N585" s="49"/>
      <c r="O585" s="255"/>
      <c r="P585" s="224"/>
      <c r="Q585" s="224"/>
    </row>
    <row r="586" spans="1:17" ht="31.2" hidden="1" x14ac:dyDescent="0.25">
      <c r="G586" s="51" t="s">
        <v>4</v>
      </c>
      <c r="H586" s="51"/>
      <c r="I586" s="47"/>
      <c r="J586" s="48">
        <v>200</v>
      </c>
      <c r="K586" s="49">
        <v>0</v>
      </c>
      <c r="L586" s="49"/>
      <c r="M586" s="238">
        <v>0</v>
      </c>
      <c r="N586" s="49"/>
      <c r="O586" s="255"/>
      <c r="P586" s="224"/>
      <c r="Q586" s="224"/>
    </row>
    <row r="587" spans="1:17" hidden="1" x14ac:dyDescent="0.25">
      <c r="G587" s="280"/>
      <c r="H587" s="51"/>
      <c r="I587" s="47" t="s">
        <v>594</v>
      </c>
      <c r="J587" s="48"/>
      <c r="K587" s="49"/>
      <c r="L587" s="49"/>
      <c r="M587" s="238"/>
      <c r="N587" s="49"/>
      <c r="O587" s="255">
        <f>O588</f>
        <v>0</v>
      </c>
      <c r="P587" s="224"/>
      <c r="Q587" s="224"/>
    </row>
    <row r="588" spans="1:17" ht="31.2" hidden="1" x14ac:dyDescent="0.25">
      <c r="G588" s="51" t="s">
        <v>2</v>
      </c>
      <c r="H588" s="51"/>
      <c r="I588" s="47"/>
      <c r="J588" s="48">
        <v>200</v>
      </c>
      <c r="K588" s="49"/>
      <c r="L588" s="49"/>
      <c r="M588" s="238"/>
      <c r="N588" s="49"/>
      <c r="O588" s="255"/>
      <c r="P588" s="224"/>
      <c r="Q588" s="224"/>
    </row>
    <row r="589" spans="1:17" ht="36.75" customHeight="1" x14ac:dyDescent="0.25">
      <c r="G589" s="14" t="s">
        <v>665</v>
      </c>
      <c r="H589" s="51"/>
      <c r="I589" s="3" t="s">
        <v>664</v>
      </c>
      <c r="J589" s="48"/>
      <c r="K589" s="49"/>
      <c r="L589" s="49"/>
      <c r="M589" s="238"/>
      <c r="N589" s="49"/>
      <c r="O589" s="255">
        <f>O590</f>
        <v>0</v>
      </c>
      <c r="P589" s="224"/>
      <c r="Q589" s="224"/>
    </row>
    <row r="590" spans="1:17" ht="78" x14ac:dyDescent="0.25">
      <c r="G590" s="51" t="s">
        <v>3</v>
      </c>
      <c r="H590" s="51"/>
      <c r="I590" s="47"/>
      <c r="J590" s="48">
        <v>100</v>
      </c>
      <c r="K590" s="49"/>
      <c r="L590" s="49"/>
      <c r="M590" s="238"/>
      <c r="N590" s="49"/>
      <c r="O590" s="255"/>
      <c r="P590" s="224"/>
      <c r="Q590" s="224"/>
    </row>
    <row r="591" spans="1:17" ht="62.4" x14ac:dyDescent="0.25">
      <c r="G591" s="14" t="s">
        <v>718</v>
      </c>
      <c r="H591" s="121"/>
      <c r="I591" s="47" t="s">
        <v>278</v>
      </c>
      <c r="J591" s="48" t="s">
        <v>0</v>
      </c>
      <c r="K591" s="49">
        <f t="shared" ref="K591:O592" si="47">K592</f>
        <v>9279483</v>
      </c>
      <c r="L591" s="49">
        <f t="shared" si="47"/>
        <v>309969</v>
      </c>
      <c r="M591" s="238">
        <f t="shared" si="47"/>
        <v>9589452</v>
      </c>
      <c r="N591" s="49">
        <f t="shared" si="47"/>
        <v>0</v>
      </c>
      <c r="O591" s="255">
        <f t="shared" si="47"/>
        <v>12766653</v>
      </c>
      <c r="P591" s="224"/>
      <c r="Q591" s="224"/>
    </row>
    <row r="592" spans="1:17" ht="52.5" customHeight="1" x14ac:dyDescent="0.25">
      <c r="G592" s="63" t="s">
        <v>319</v>
      </c>
      <c r="H592" s="63"/>
      <c r="I592" s="64" t="s">
        <v>279</v>
      </c>
      <c r="J592" s="48"/>
      <c r="K592" s="49">
        <f t="shared" si="47"/>
        <v>9279483</v>
      </c>
      <c r="L592" s="49">
        <f t="shared" si="47"/>
        <v>309969</v>
      </c>
      <c r="M592" s="238">
        <f t="shared" si="47"/>
        <v>9589452</v>
      </c>
      <c r="N592" s="49">
        <f t="shared" si="47"/>
        <v>0</v>
      </c>
      <c r="O592" s="255">
        <f t="shared" si="47"/>
        <v>12766653</v>
      </c>
      <c r="P592" s="224"/>
      <c r="Q592" s="224"/>
    </row>
    <row r="593" spans="7:17" ht="78" x14ac:dyDescent="0.25">
      <c r="G593" s="14" t="s">
        <v>719</v>
      </c>
      <c r="H593" s="51"/>
      <c r="I593" s="47" t="s">
        <v>280</v>
      </c>
      <c r="J593" s="48" t="s">
        <v>0</v>
      </c>
      <c r="K593" s="49">
        <f>K594+K596+K597</f>
        <v>9279483</v>
      </c>
      <c r="L593" s="49">
        <f>L594+L596+L597</f>
        <v>309969</v>
      </c>
      <c r="M593" s="238">
        <f>M594+M596+M597</f>
        <v>9589452</v>
      </c>
      <c r="N593" s="49">
        <f>N594+N596+N597</f>
        <v>0</v>
      </c>
      <c r="O593" s="255">
        <f>O594+O596+O597+O595</f>
        <v>12766653</v>
      </c>
      <c r="P593" s="224"/>
      <c r="Q593" s="224"/>
    </row>
    <row r="594" spans="7:17" ht="78" x14ac:dyDescent="0.25">
      <c r="G594" s="51" t="s">
        <v>3</v>
      </c>
      <c r="H594" s="51"/>
      <c r="I594" s="52"/>
      <c r="J594" s="48">
        <v>100</v>
      </c>
      <c r="K594" s="49">
        <v>6351047</v>
      </c>
      <c r="L594" s="49">
        <v>309969</v>
      </c>
      <c r="M594" s="238">
        <f>K594+L594</f>
        <v>6661016</v>
      </c>
      <c r="N594" s="49"/>
      <c r="O594" s="282">
        <f>7210419-15174</f>
        <v>7195245</v>
      </c>
      <c r="P594" s="224"/>
      <c r="Q594" s="224"/>
    </row>
    <row r="595" spans="7:17" x14ac:dyDescent="0.25">
      <c r="G595" s="51" t="s">
        <v>5</v>
      </c>
      <c r="H595" s="51"/>
      <c r="I595" s="52"/>
      <c r="J595" s="48">
        <v>300</v>
      </c>
      <c r="K595" s="49"/>
      <c r="L595" s="49"/>
      <c r="M595" s="238"/>
      <c r="N595" s="49"/>
      <c r="O595" s="282">
        <v>15174</v>
      </c>
      <c r="P595" s="224"/>
      <c r="Q595" s="224"/>
    </row>
    <row r="596" spans="7:17" ht="31.2" x14ac:dyDescent="0.25">
      <c r="G596" s="51" t="s">
        <v>2</v>
      </c>
      <c r="H596" s="51"/>
      <c r="I596" s="52"/>
      <c r="J596" s="48">
        <v>200</v>
      </c>
      <c r="K596" s="49">
        <v>2702396</v>
      </c>
      <c r="L596" s="49"/>
      <c r="M596" s="238">
        <f>K596+L596</f>
        <v>2702396</v>
      </c>
      <c r="N596" s="49"/>
      <c r="O596" s="271">
        <f>3367820+1100000+166121+299953+100000+300000</f>
        <v>5333894</v>
      </c>
      <c r="P596" s="224"/>
      <c r="Q596" s="224"/>
    </row>
    <row r="597" spans="7:17" x14ac:dyDescent="0.25">
      <c r="G597" s="51" t="s">
        <v>1</v>
      </c>
      <c r="H597" s="51"/>
      <c r="I597" s="52"/>
      <c r="J597" s="48">
        <v>800</v>
      </c>
      <c r="K597" s="49">
        <v>226040</v>
      </c>
      <c r="L597" s="49"/>
      <c r="M597" s="238">
        <f>K597+L597</f>
        <v>226040</v>
      </c>
      <c r="N597" s="49"/>
      <c r="O597" s="271">
        <v>222340</v>
      </c>
      <c r="P597" s="224"/>
      <c r="Q597" s="224"/>
    </row>
    <row r="598" spans="7:17" ht="62.4" x14ac:dyDescent="0.3">
      <c r="G598" s="329" t="s">
        <v>720</v>
      </c>
      <c r="H598" s="65"/>
      <c r="I598" s="60" t="s">
        <v>437</v>
      </c>
      <c r="J598" s="48"/>
      <c r="K598" s="127">
        <f t="shared" ref="K598:O598" si="48">K600</f>
        <v>420000</v>
      </c>
      <c r="L598" s="127">
        <f t="shared" si="48"/>
        <v>0</v>
      </c>
      <c r="M598" s="239">
        <f t="shared" si="48"/>
        <v>420000</v>
      </c>
      <c r="N598" s="127">
        <f t="shared" si="48"/>
        <v>0</v>
      </c>
      <c r="O598" s="254">
        <f t="shared" si="48"/>
        <v>4556530</v>
      </c>
      <c r="P598" s="265"/>
      <c r="Q598" s="265"/>
    </row>
    <row r="599" spans="7:17" ht="62.4" x14ac:dyDescent="0.3">
      <c r="G599" s="335" t="s">
        <v>721</v>
      </c>
      <c r="H599" s="65"/>
      <c r="I599" s="47" t="s">
        <v>438</v>
      </c>
      <c r="J599" s="48"/>
      <c r="K599" s="49">
        <f t="shared" ref="K599:O599" si="49">K600</f>
        <v>420000</v>
      </c>
      <c r="L599" s="49">
        <f t="shared" si="49"/>
        <v>0</v>
      </c>
      <c r="M599" s="238">
        <f t="shared" si="49"/>
        <v>420000</v>
      </c>
      <c r="N599" s="49">
        <f t="shared" si="49"/>
        <v>0</v>
      </c>
      <c r="O599" s="255">
        <f t="shared" si="49"/>
        <v>4556530</v>
      </c>
      <c r="P599" s="224"/>
      <c r="Q599" s="224"/>
    </row>
    <row r="600" spans="7:17" ht="31.2" x14ac:dyDescent="0.25">
      <c r="G600" s="63" t="s">
        <v>325</v>
      </c>
      <c r="H600" s="63"/>
      <c r="I600" s="64" t="s">
        <v>439</v>
      </c>
      <c r="J600" s="48"/>
      <c r="K600" s="49">
        <f t="shared" ref="K600:O600" si="50">K601+K603</f>
        <v>420000</v>
      </c>
      <c r="L600" s="49">
        <f t="shared" si="50"/>
        <v>0</v>
      </c>
      <c r="M600" s="238">
        <f t="shared" si="50"/>
        <v>420000</v>
      </c>
      <c r="N600" s="49">
        <f t="shared" si="50"/>
        <v>0</v>
      </c>
      <c r="O600" s="255">
        <f t="shared" si="50"/>
        <v>4556530</v>
      </c>
      <c r="P600" s="224"/>
      <c r="Q600" s="224"/>
    </row>
    <row r="601" spans="7:17" ht="78" x14ac:dyDescent="0.3">
      <c r="G601" s="117" t="s">
        <v>404</v>
      </c>
      <c r="H601" s="66"/>
      <c r="I601" s="47" t="s">
        <v>440</v>
      </c>
      <c r="J601" s="48"/>
      <c r="K601" s="49">
        <f t="shared" ref="K601:N601" si="51">K602</f>
        <v>420000</v>
      </c>
      <c r="L601" s="49">
        <f t="shared" si="51"/>
        <v>0</v>
      </c>
      <c r="M601" s="238">
        <f t="shared" si="51"/>
        <v>420000</v>
      </c>
      <c r="N601" s="49">
        <f t="shared" si="51"/>
        <v>0</v>
      </c>
      <c r="O601" s="255">
        <f>O602+O606</f>
        <v>4556530</v>
      </c>
      <c r="P601" s="224"/>
      <c r="Q601" s="224"/>
    </row>
    <row r="602" spans="7:17" ht="31.2" x14ac:dyDescent="0.25">
      <c r="G602" s="51" t="s">
        <v>2</v>
      </c>
      <c r="H602" s="51"/>
      <c r="I602" s="52"/>
      <c r="J602" s="48">
        <v>200</v>
      </c>
      <c r="K602" s="49">
        <v>420000</v>
      </c>
      <c r="L602" s="49">
        <v>0</v>
      </c>
      <c r="M602" s="238">
        <f>K602+L602</f>
        <v>420000</v>
      </c>
      <c r="N602" s="49"/>
      <c r="O602" s="271">
        <f>291000+108300+7530+73740+781830+36760+128000+36570+6000+6000+200411+2000+8389</f>
        <v>1686530</v>
      </c>
      <c r="P602" s="224"/>
      <c r="Q602" s="224"/>
    </row>
    <row r="603" spans="7:17" ht="62.4" hidden="1" x14ac:dyDescent="0.25">
      <c r="G603" s="51" t="s">
        <v>334</v>
      </c>
      <c r="H603" s="51"/>
      <c r="I603" s="47" t="s">
        <v>326</v>
      </c>
      <c r="J603" s="48"/>
      <c r="K603" s="49">
        <f>K604</f>
        <v>0</v>
      </c>
      <c r="L603" s="49"/>
      <c r="M603" s="238">
        <f>M604</f>
        <v>0</v>
      </c>
      <c r="N603" s="49"/>
      <c r="O603" s="255"/>
      <c r="P603" s="224"/>
      <c r="Q603" s="224"/>
    </row>
    <row r="604" spans="7:17" ht="31.35" hidden="1" customHeight="1" x14ac:dyDescent="0.25">
      <c r="G604" s="51" t="s">
        <v>2</v>
      </c>
      <c r="H604" s="51"/>
      <c r="I604" s="47"/>
      <c r="J604" s="48">
        <v>200</v>
      </c>
      <c r="K604" s="49">
        <v>0</v>
      </c>
      <c r="L604" s="49"/>
      <c r="M604" s="238">
        <v>0</v>
      </c>
      <c r="N604" s="49"/>
      <c r="O604" s="255"/>
      <c r="P604" s="224"/>
      <c r="Q604" s="224"/>
    </row>
    <row r="605" spans="7:17" ht="20.25" hidden="1" customHeight="1" x14ac:dyDescent="0.25">
      <c r="G605" s="51" t="s">
        <v>6</v>
      </c>
      <c r="H605" s="51"/>
      <c r="I605" s="47"/>
      <c r="J605" s="48">
        <v>500</v>
      </c>
      <c r="K605" s="49"/>
      <c r="L605" s="49"/>
      <c r="M605" s="238"/>
      <c r="N605" s="49"/>
      <c r="O605" s="255"/>
      <c r="P605" s="224"/>
      <c r="Q605" s="224"/>
    </row>
    <row r="606" spans="7:17" ht="20.25" customHeight="1" x14ac:dyDescent="0.25">
      <c r="G606" s="51" t="s">
        <v>6</v>
      </c>
      <c r="H606" s="51"/>
      <c r="I606" s="47"/>
      <c r="J606" s="48">
        <v>500</v>
      </c>
      <c r="K606" s="49"/>
      <c r="L606" s="49"/>
      <c r="M606" s="238"/>
      <c r="N606" s="49"/>
      <c r="O606" s="255">
        <v>2870000</v>
      </c>
      <c r="P606" s="224"/>
      <c r="Q606" s="224"/>
    </row>
    <row r="607" spans="7:17" ht="46.8" x14ac:dyDescent="0.25">
      <c r="G607" s="2" t="s">
        <v>722</v>
      </c>
      <c r="H607" s="121"/>
      <c r="I607" s="60" t="s">
        <v>269</v>
      </c>
      <c r="J607" s="122" t="s">
        <v>0</v>
      </c>
      <c r="K607" s="127">
        <f>K608</f>
        <v>1795200</v>
      </c>
      <c r="L607" s="127"/>
      <c r="M607" s="239">
        <f t="shared" ref="M607:O610" si="52">M608</f>
        <v>1669167</v>
      </c>
      <c r="N607" s="127">
        <f t="shared" si="52"/>
        <v>0</v>
      </c>
      <c r="O607" s="255">
        <f t="shared" si="52"/>
        <v>2026298</v>
      </c>
      <c r="P607" s="224"/>
      <c r="Q607" s="224"/>
    </row>
    <row r="608" spans="7:17" ht="31.2" x14ac:dyDescent="0.25">
      <c r="G608" s="14" t="s">
        <v>723</v>
      </c>
      <c r="H608" s="51"/>
      <c r="I608" s="47" t="s">
        <v>270</v>
      </c>
      <c r="J608" s="48" t="s">
        <v>0</v>
      </c>
      <c r="K608" s="49">
        <f>K609</f>
        <v>1795200</v>
      </c>
      <c r="L608" s="49"/>
      <c r="M608" s="238">
        <f t="shared" si="52"/>
        <v>1669167</v>
      </c>
      <c r="N608" s="49">
        <f t="shared" si="52"/>
        <v>0</v>
      </c>
      <c r="O608" s="255">
        <f t="shared" si="52"/>
        <v>2026298</v>
      </c>
      <c r="P608" s="224"/>
      <c r="Q608" s="224"/>
    </row>
    <row r="609" spans="7:17" ht="62.4" x14ac:dyDescent="0.25">
      <c r="G609" s="63" t="s">
        <v>384</v>
      </c>
      <c r="H609" s="63"/>
      <c r="I609" s="64" t="s">
        <v>271</v>
      </c>
      <c r="J609" s="48"/>
      <c r="K609" s="49">
        <f>K610</f>
        <v>1795200</v>
      </c>
      <c r="L609" s="49"/>
      <c r="M609" s="238">
        <f t="shared" si="52"/>
        <v>1669167</v>
      </c>
      <c r="N609" s="49">
        <f t="shared" si="52"/>
        <v>0</v>
      </c>
      <c r="O609" s="255">
        <f t="shared" si="52"/>
        <v>2026298</v>
      </c>
      <c r="P609" s="224"/>
      <c r="Q609" s="224"/>
    </row>
    <row r="610" spans="7:17" ht="31.2" x14ac:dyDescent="0.25">
      <c r="G610" s="14" t="s">
        <v>724</v>
      </c>
      <c r="H610" s="51"/>
      <c r="I610" s="47" t="s">
        <v>272</v>
      </c>
      <c r="J610" s="48" t="s">
        <v>0</v>
      </c>
      <c r="K610" s="49">
        <f>K611</f>
        <v>1795200</v>
      </c>
      <c r="L610" s="49"/>
      <c r="M610" s="238">
        <f t="shared" si="52"/>
        <v>1669167</v>
      </c>
      <c r="N610" s="49">
        <f t="shared" si="52"/>
        <v>0</v>
      </c>
      <c r="O610" s="255">
        <f t="shared" si="52"/>
        <v>2026298</v>
      </c>
      <c r="P610" s="224"/>
      <c r="Q610" s="224"/>
    </row>
    <row r="611" spans="7:17" ht="31.2" x14ac:dyDescent="0.25">
      <c r="G611" s="51" t="s">
        <v>4</v>
      </c>
      <c r="H611" s="51"/>
      <c r="I611" s="47" t="s">
        <v>0</v>
      </c>
      <c r="J611" s="48">
        <v>600</v>
      </c>
      <c r="K611" s="49">
        <v>1795200</v>
      </c>
      <c r="L611" s="49"/>
      <c r="M611" s="238">
        <v>1669167</v>
      </c>
      <c r="N611" s="49"/>
      <c r="O611" s="271">
        <v>2026298</v>
      </c>
      <c r="P611" s="224"/>
      <c r="Q611" s="224"/>
    </row>
    <row r="612" spans="7:17" ht="46.8" x14ac:dyDescent="0.3">
      <c r="G612" s="334" t="s">
        <v>694</v>
      </c>
      <c r="H612" s="65"/>
      <c r="I612" s="60" t="s">
        <v>281</v>
      </c>
      <c r="J612" s="122" t="s">
        <v>0</v>
      </c>
      <c r="K612" s="127">
        <f>K613+K629</f>
        <v>36708514</v>
      </c>
      <c r="L612" s="127">
        <f>L613+L629</f>
        <v>0</v>
      </c>
      <c r="M612" s="239">
        <f>M613+M629</f>
        <v>36406114</v>
      </c>
      <c r="N612" s="127">
        <f>N613+N629</f>
        <v>0</v>
      </c>
      <c r="O612" s="255">
        <f>O613+O629</f>
        <v>49445692</v>
      </c>
      <c r="P612" s="224"/>
      <c r="Q612" s="224"/>
    </row>
    <row r="613" spans="7:17" ht="46.8" x14ac:dyDescent="0.3">
      <c r="G613" s="335" t="s">
        <v>725</v>
      </c>
      <c r="H613" s="65"/>
      <c r="I613" s="47" t="s">
        <v>282</v>
      </c>
      <c r="J613" s="48" t="s">
        <v>0</v>
      </c>
      <c r="K613" s="49">
        <f>K614</f>
        <v>28734114</v>
      </c>
      <c r="L613" s="49">
        <f>L614</f>
        <v>0</v>
      </c>
      <c r="M613" s="238">
        <f>M614</f>
        <v>28734114</v>
      </c>
      <c r="N613" s="49">
        <f>N614</f>
        <v>0</v>
      </c>
      <c r="O613" s="255">
        <f>O614</f>
        <v>41206892</v>
      </c>
      <c r="P613" s="224"/>
      <c r="Q613" s="224"/>
    </row>
    <row r="614" spans="7:17" ht="31.2" x14ac:dyDescent="0.25">
      <c r="G614" s="120" t="s">
        <v>320</v>
      </c>
      <c r="H614" s="120"/>
      <c r="I614" s="64" t="s">
        <v>283</v>
      </c>
      <c r="J614" s="48"/>
      <c r="K614" s="49">
        <f>K615+K619+K621</f>
        <v>28734114</v>
      </c>
      <c r="L614" s="49">
        <f>L615+L619+L621</f>
        <v>0</v>
      </c>
      <c r="M614" s="238">
        <f>M615+M619+M621</f>
        <v>28734114</v>
      </c>
      <c r="N614" s="49">
        <f>N615+N619+N621</f>
        <v>0</v>
      </c>
      <c r="O614" s="255">
        <f>O615+O617+O619+O621+O625+O627</f>
        <v>41206892</v>
      </c>
      <c r="P614" s="224"/>
      <c r="Q614" s="224"/>
    </row>
    <row r="615" spans="7:17" ht="62.4" x14ac:dyDescent="0.3">
      <c r="G615" s="330" t="s">
        <v>726</v>
      </c>
      <c r="H615" s="66"/>
      <c r="I615" s="47" t="s">
        <v>284</v>
      </c>
      <c r="J615" s="48" t="s">
        <v>0</v>
      </c>
      <c r="K615" s="49">
        <f>K616</f>
        <v>19085723</v>
      </c>
      <c r="L615" s="49">
        <f>L616</f>
        <v>0</v>
      </c>
      <c r="M615" s="238">
        <f>M616</f>
        <v>19085723</v>
      </c>
      <c r="N615" s="49">
        <f>N616</f>
        <v>0</v>
      </c>
      <c r="O615" s="255">
        <f>O616</f>
        <v>19098271</v>
      </c>
      <c r="P615" s="224"/>
      <c r="Q615" s="224"/>
    </row>
    <row r="616" spans="7:17" ht="31.2" x14ac:dyDescent="0.25">
      <c r="G616" s="51" t="s">
        <v>2</v>
      </c>
      <c r="H616" s="51"/>
      <c r="I616" s="47" t="s">
        <v>0</v>
      </c>
      <c r="J616" s="48">
        <v>200</v>
      </c>
      <c r="K616" s="49">
        <v>19085723</v>
      </c>
      <c r="L616" s="49">
        <v>0</v>
      </c>
      <c r="M616" s="238">
        <f>K616+L616</f>
        <v>19085723</v>
      </c>
      <c r="N616" s="49">
        <v>0</v>
      </c>
      <c r="O616" s="271">
        <f>11952157+8280364-1134250</f>
        <v>19098271</v>
      </c>
      <c r="P616" s="224"/>
      <c r="Q616" s="224"/>
    </row>
    <row r="617" spans="7:17" ht="34.5" customHeight="1" x14ac:dyDescent="0.25">
      <c r="G617" s="51" t="s">
        <v>639</v>
      </c>
      <c r="H617" s="51"/>
      <c r="I617" s="47" t="s">
        <v>459</v>
      </c>
      <c r="J617" s="48"/>
      <c r="K617" s="49"/>
      <c r="L617" s="49"/>
      <c r="M617" s="238"/>
      <c r="N617" s="49"/>
      <c r="O617" s="271">
        <f>O618</f>
        <v>0</v>
      </c>
      <c r="P617" s="224"/>
      <c r="Q617" s="224"/>
    </row>
    <row r="618" spans="7:17" x14ac:dyDescent="0.25">
      <c r="G618" s="51" t="s">
        <v>6</v>
      </c>
      <c r="H618" s="51"/>
      <c r="I618" s="47"/>
      <c r="J618" s="48">
        <v>500</v>
      </c>
      <c r="K618" s="49"/>
      <c r="L618" s="49"/>
      <c r="M618" s="238"/>
      <c r="N618" s="49"/>
      <c r="O618" s="271"/>
      <c r="P618" s="224"/>
      <c r="Q618" s="224"/>
    </row>
    <row r="619" spans="7:17" ht="31.2" x14ac:dyDescent="0.25">
      <c r="G619" s="51" t="s">
        <v>478</v>
      </c>
      <c r="H619" s="51"/>
      <c r="I619" s="47" t="s">
        <v>479</v>
      </c>
      <c r="J619" s="48"/>
      <c r="K619" s="49">
        <f>K620</f>
        <v>1534322</v>
      </c>
      <c r="L619" s="49">
        <f>L620</f>
        <v>0</v>
      </c>
      <c r="M619" s="238">
        <f>M620</f>
        <v>1534322</v>
      </c>
      <c r="N619" s="49">
        <f>N620</f>
        <v>0</v>
      </c>
      <c r="O619" s="255">
        <f>O620</f>
        <v>1997480</v>
      </c>
      <c r="P619" s="224"/>
      <c r="Q619" s="224"/>
    </row>
    <row r="620" spans="7:17" ht="31.2" x14ac:dyDescent="0.25">
      <c r="G620" s="51" t="s">
        <v>2</v>
      </c>
      <c r="H620" s="51"/>
      <c r="I620" s="47"/>
      <c r="J620" s="48">
        <v>200</v>
      </c>
      <c r="K620" s="49">
        <v>1534322</v>
      </c>
      <c r="L620" s="49">
        <v>0</v>
      </c>
      <c r="M620" s="238">
        <f>K620+L620</f>
        <v>1534322</v>
      </c>
      <c r="N620" s="49">
        <v>0</v>
      </c>
      <c r="O620" s="271">
        <f>276843+1134250+37026+208708+340653</f>
        <v>1997480</v>
      </c>
      <c r="P620" s="224"/>
      <c r="Q620" s="224"/>
    </row>
    <row r="621" spans="7:17" s="96" customFormat="1" ht="36.9" customHeight="1" x14ac:dyDescent="0.25">
      <c r="G621" s="51" t="s">
        <v>473</v>
      </c>
      <c r="H621" s="51"/>
      <c r="I621" s="47" t="s">
        <v>285</v>
      </c>
      <c r="J621" s="48" t="s">
        <v>0</v>
      </c>
      <c r="K621" s="49">
        <f>K622</f>
        <v>8114069</v>
      </c>
      <c r="L621" s="49">
        <f>L622</f>
        <v>0</v>
      </c>
      <c r="M621" s="238">
        <f>M622</f>
        <v>8114069</v>
      </c>
      <c r="N621" s="49">
        <f>N622</f>
        <v>0</v>
      </c>
      <c r="O621" s="255">
        <f>O622</f>
        <v>13729968</v>
      </c>
      <c r="P621" s="224"/>
      <c r="Q621" s="224"/>
    </row>
    <row r="622" spans="7:17" s="96" customFormat="1" ht="31.2" x14ac:dyDescent="0.25">
      <c r="G622" s="51" t="s">
        <v>2</v>
      </c>
      <c r="H622" s="51"/>
      <c r="I622" s="47"/>
      <c r="J622" s="48">
        <v>200</v>
      </c>
      <c r="K622" s="49">
        <v>8114069</v>
      </c>
      <c r="L622" s="49">
        <v>0</v>
      </c>
      <c r="M622" s="238">
        <f>K622+L622</f>
        <v>8114069</v>
      </c>
      <c r="N622" s="49"/>
      <c r="O622" s="255">
        <f>8114069+2151542+703481+2760876</f>
        <v>13729968</v>
      </c>
      <c r="P622" s="224"/>
      <c r="Q622" s="224"/>
    </row>
    <row r="623" spans="7:17" ht="0.6" customHeight="1" x14ac:dyDescent="0.25">
      <c r="G623" s="51" t="s">
        <v>339</v>
      </c>
      <c r="H623" s="51"/>
      <c r="I623" s="47" t="s">
        <v>338</v>
      </c>
      <c r="J623" s="48"/>
      <c r="K623" s="49">
        <f>K624</f>
        <v>0</v>
      </c>
      <c r="L623" s="49"/>
      <c r="M623" s="238">
        <f>M624</f>
        <v>0</v>
      </c>
      <c r="N623" s="49"/>
      <c r="O623" s="255"/>
      <c r="P623" s="224"/>
      <c r="Q623" s="224"/>
    </row>
    <row r="624" spans="7:17" ht="29.1" hidden="1" customHeight="1" x14ac:dyDescent="0.25">
      <c r="G624" s="51" t="s">
        <v>2</v>
      </c>
      <c r="H624" s="51"/>
      <c r="I624" s="47"/>
      <c r="J624" s="48">
        <v>200</v>
      </c>
      <c r="K624" s="49"/>
      <c r="L624" s="49"/>
      <c r="M624" s="238"/>
      <c r="N624" s="49"/>
      <c r="O624" s="255"/>
      <c r="P624" s="224"/>
      <c r="Q624" s="224"/>
    </row>
    <row r="625" spans="7:17" ht="66.599999999999994" customHeight="1" x14ac:dyDescent="0.25">
      <c r="G625" s="51" t="s">
        <v>741</v>
      </c>
      <c r="H625" s="51"/>
      <c r="I625" s="47" t="s">
        <v>742</v>
      </c>
      <c r="J625" s="48"/>
      <c r="K625" s="49"/>
      <c r="L625" s="49"/>
      <c r="M625" s="238"/>
      <c r="N625" s="49"/>
      <c r="O625" s="255">
        <f>O626</f>
        <v>922278</v>
      </c>
      <c r="P625" s="224"/>
      <c r="Q625" s="224"/>
    </row>
    <row r="626" spans="7:17" ht="36" customHeight="1" x14ac:dyDescent="0.25">
      <c r="G626" s="51" t="s">
        <v>2</v>
      </c>
      <c r="H626" s="51"/>
      <c r="I626" s="47"/>
      <c r="J626" s="48">
        <v>200</v>
      </c>
      <c r="K626" s="49"/>
      <c r="L626" s="49"/>
      <c r="M626" s="238"/>
      <c r="N626" s="49"/>
      <c r="O626" s="255">
        <f>352662+137180+432436</f>
        <v>922278</v>
      </c>
      <c r="P626" s="224"/>
      <c r="Q626" s="224"/>
    </row>
    <row r="627" spans="7:17" ht="64.8" customHeight="1" x14ac:dyDescent="0.25">
      <c r="G627" s="51" t="s">
        <v>743</v>
      </c>
      <c r="H627" s="51"/>
      <c r="I627" s="3" t="s">
        <v>744</v>
      </c>
      <c r="J627" s="48"/>
      <c r="K627" s="49"/>
      <c r="L627" s="49"/>
      <c r="M627" s="238"/>
      <c r="N627" s="49"/>
      <c r="O627" s="255">
        <f>O628</f>
        <v>5458895</v>
      </c>
      <c r="P627" s="224"/>
      <c r="Q627" s="224"/>
    </row>
    <row r="628" spans="7:17" ht="34.200000000000003" customHeight="1" x14ac:dyDescent="0.25">
      <c r="G628" s="51" t="s">
        <v>2</v>
      </c>
      <c r="H628" s="51"/>
      <c r="I628" s="47"/>
      <c r="J628" s="48">
        <v>200</v>
      </c>
      <c r="K628" s="49"/>
      <c r="L628" s="49"/>
      <c r="M628" s="238"/>
      <c r="N628" s="49"/>
      <c r="O628" s="255">
        <f>1504393+2606402+1348100</f>
        <v>5458895</v>
      </c>
      <c r="P628" s="224"/>
      <c r="Q628" s="224"/>
    </row>
    <row r="629" spans="7:17" ht="46.8" x14ac:dyDescent="0.3">
      <c r="G629" s="330" t="s">
        <v>695</v>
      </c>
      <c r="H629" s="65"/>
      <c r="I629" s="47" t="s">
        <v>286</v>
      </c>
      <c r="J629" s="48"/>
      <c r="K629" s="49">
        <f>K630+K634</f>
        <v>7974400</v>
      </c>
      <c r="L629" s="49">
        <f>L630+L634</f>
        <v>0</v>
      </c>
      <c r="M629" s="238">
        <f>M630+M634</f>
        <v>7672000</v>
      </c>
      <c r="N629" s="49">
        <f>N630+N634</f>
        <v>0</v>
      </c>
      <c r="O629" s="255">
        <f>O630+O634</f>
        <v>8238800</v>
      </c>
      <c r="P629" s="224"/>
      <c r="Q629" s="224"/>
    </row>
    <row r="630" spans="7:17" ht="46.8" x14ac:dyDescent="0.25">
      <c r="G630" s="120" t="s">
        <v>288</v>
      </c>
      <c r="H630" s="120"/>
      <c r="I630" s="64" t="s">
        <v>287</v>
      </c>
      <c r="J630" s="48"/>
      <c r="K630" s="49">
        <f>K631</f>
        <v>7963000</v>
      </c>
      <c r="L630" s="49"/>
      <c r="M630" s="238">
        <f t="shared" ref="M630:O630" si="53">M631</f>
        <v>7660000</v>
      </c>
      <c r="N630" s="49">
        <f t="shared" si="53"/>
        <v>0</v>
      </c>
      <c r="O630" s="255">
        <f t="shared" si="53"/>
        <v>8218000</v>
      </c>
      <c r="P630" s="224"/>
      <c r="Q630" s="224"/>
    </row>
    <row r="631" spans="7:17" ht="60" customHeight="1" x14ac:dyDescent="0.3">
      <c r="G631" s="66" t="s">
        <v>602</v>
      </c>
      <c r="H631" s="66"/>
      <c r="I631" s="47" t="s">
        <v>289</v>
      </c>
      <c r="J631" s="48"/>
      <c r="K631" s="49">
        <f>K633</f>
        <v>7963000</v>
      </c>
      <c r="L631" s="49"/>
      <c r="M631" s="238">
        <f>M633</f>
        <v>7660000</v>
      </c>
      <c r="N631" s="49">
        <f>N633</f>
        <v>0</v>
      </c>
      <c r="O631" s="255">
        <f>O632+O633</f>
        <v>8218000</v>
      </c>
      <c r="P631" s="224"/>
      <c r="Q631" s="224"/>
    </row>
    <row r="632" spans="7:17" ht="38.25" customHeight="1" x14ac:dyDescent="0.3">
      <c r="G632" s="51" t="s">
        <v>2</v>
      </c>
      <c r="H632" s="66"/>
      <c r="I632" s="47"/>
      <c r="J632" s="48">
        <v>200</v>
      </c>
      <c r="K632" s="49"/>
      <c r="L632" s="49"/>
      <c r="M632" s="238"/>
      <c r="N632" s="49"/>
      <c r="O632" s="271">
        <v>8218000</v>
      </c>
      <c r="P632" s="224"/>
      <c r="Q632" s="224"/>
    </row>
    <row r="633" spans="7:17" x14ac:dyDescent="0.25">
      <c r="G633" s="51" t="s">
        <v>1</v>
      </c>
      <c r="H633" s="51"/>
      <c r="I633" s="52"/>
      <c r="J633" s="48">
        <v>800</v>
      </c>
      <c r="K633" s="49">
        <v>7963000</v>
      </c>
      <c r="L633" s="49"/>
      <c r="M633" s="238">
        <v>7660000</v>
      </c>
      <c r="N633" s="49"/>
      <c r="O633" s="271"/>
      <c r="P633" s="224"/>
      <c r="Q633" s="224"/>
    </row>
    <row r="634" spans="7:17" ht="31.2" x14ac:dyDescent="0.25">
      <c r="G634" s="63" t="s">
        <v>291</v>
      </c>
      <c r="H634" s="63"/>
      <c r="I634" s="64" t="s">
        <v>290</v>
      </c>
      <c r="J634" s="48"/>
      <c r="K634" s="49">
        <f>K635</f>
        <v>11400</v>
      </c>
      <c r="L634" s="49"/>
      <c r="M634" s="238">
        <f t="shared" ref="M634:O635" si="54">M635</f>
        <v>12000</v>
      </c>
      <c r="N634" s="49">
        <f t="shared" si="54"/>
        <v>0</v>
      </c>
      <c r="O634" s="255">
        <f t="shared" si="54"/>
        <v>20800</v>
      </c>
      <c r="P634" s="224"/>
      <c r="Q634" s="224"/>
    </row>
    <row r="635" spans="7:17" s="96" customFormat="1" ht="46.8" x14ac:dyDescent="0.25">
      <c r="G635" s="117" t="s">
        <v>93</v>
      </c>
      <c r="H635" s="117"/>
      <c r="I635" s="47" t="s">
        <v>292</v>
      </c>
      <c r="J635" s="48" t="s">
        <v>0</v>
      </c>
      <c r="K635" s="49">
        <f>K636</f>
        <v>11400</v>
      </c>
      <c r="L635" s="49"/>
      <c r="M635" s="238">
        <f t="shared" si="54"/>
        <v>12000</v>
      </c>
      <c r="N635" s="49">
        <f t="shared" si="54"/>
        <v>0</v>
      </c>
      <c r="O635" s="255">
        <f t="shared" si="54"/>
        <v>20800</v>
      </c>
      <c r="P635" s="224"/>
      <c r="Q635" s="224"/>
    </row>
    <row r="636" spans="7:17" s="96" customFormat="1" x14ac:dyDescent="0.25">
      <c r="G636" s="51" t="s">
        <v>5</v>
      </c>
      <c r="H636" s="148"/>
      <c r="I636" s="149" t="s">
        <v>0</v>
      </c>
      <c r="J636" s="150">
        <v>300</v>
      </c>
      <c r="K636" s="151">
        <v>11400</v>
      </c>
      <c r="L636" s="151"/>
      <c r="M636" s="245">
        <v>12000</v>
      </c>
      <c r="N636" s="49"/>
      <c r="O636" s="255">
        <v>20800</v>
      </c>
      <c r="P636" s="224"/>
      <c r="Q636" s="224"/>
    </row>
    <row r="637" spans="7:17" ht="46.8" x14ac:dyDescent="0.25">
      <c r="G637" s="2" t="s">
        <v>727</v>
      </c>
      <c r="H637" s="121"/>
      <c r="I637" s="60" t="s">
        <v>294</v>
      </c>
      <c r="J637" s="122" t="s">
        <v>0</v>
      </c>
      <c r="K637" s="127">
        <f>K638</f>
        <v>46838</v>
      </c>
      <c r="L637" s="127">
        <f>L638</f>
        <v>0</v>
      </c>
      <c r="M637" s="239">
        <f>M638</f>
        <v>69348</v>
      </c>
      <c r="N637" s="127">
        <f>N638</f>
        <v>0</v>
      </c>
      <c r="O637" s="255">
        <f>O638</f>
        <v>856209</v>
      </c>
      <c r="P637" s="224"/>
      <c r="Q637" s="224"/>
    </row>
    <row r="638" spans="7:17" ht="62.4" x14ac:dyDescent="0.25">
      <c r="G638" s="14" t="s">
        <v>728</v>
      </c>
      <c r="H638" s="51"/>
      <c r="I638" s="47" t="s">
        <v>295</v>
      </c>
      <c r="J638" s="48" t="s">
        <v>0</v>
      </c>
      <c r="K638" s="49">
        <f>SUM(K644+K649)</f>
        <v>46838</v>
      </c>
      <c r="L638" s="49">
        <f>SUM(L644+L649)</f>
        <v>0</v>
      </c>
      <c r="M638" s="238">
        <f>SUM(M644+M649)</f>
        <v>69348</v>
      </c>
      <c r="N638" s="49">
        <f>SUM(N644+N649)</f>
        <v>0</v>
      </c>
      <c r="O638" s="255">
        <f>O644+O649+O660</f>
        <v>856209</v>
      </c>
      <c r="P638" s="224"/>
      <c r="Q638" s="224"/>
    </row>
    <row r="639" spans="7:17" hidden="1" x14ac:dyDescent="0.25">
      <c r="G639" s="63" t="s">
        <v>321</v>
      </c>
      <c r="H639" s="63"/>
      <c r="I639" s="64" t="s">
        <v>296</v>
      </c>
      <c r="J639" s="48"/>
      <c r="K639" s="49">
        <f>K640</f>
        <v>0</v>
      </c>
      <c r="L639" s="49"/>
      <c r="M639" s="238">
        <f>M640</f>
        <v>0</v>
      </c>
      <c r="N639" s="49"/>
      <c r="O639" s="255"/>
      <c r="P639" s="224"/>
      <c r="Q639" s="224"/>
    </row>
    <row r="640" spans="7:17" ht="31.2" hidden="1" x14ac:dyDescent="0.25">
      <c r="G640" s="51" t="s">
        <v>324</v>
      </c>
      <c r="H640" s="51"/>
      <c r="I640" s="47" t="s">
        <v>297</v>
      </c>
      <c r="J640" s="48"/>
      <c r="K640" s="49">
        <f>K641+K643+K642</f>
        <v>0</v>
      </c>
      <c r="L640" s="49"/>
      <c r="M640" s="238">
        <f>M641+M643+M642</f>
        <v>0</v>
      </c>
      <c r="N640" s="49"/>
      <c r="O640" s="255"/>
      <c r="P640" s="224"/>
      <c r="Q640" s="224"/>
    </row>
    <row r="641" spans="7:17" ht="31.2" hidden="1" x14ac:dyDescent="0.25">
      <c r="G641" s="51" t="s">
        <v>2</v>
      </c>
      <c r="H641" s="51"/>
      <c r="I641" s="79"/>
      <c r="J641" s="48">
        <v>200</v>
      </c>
      <c r="K641" s="49">
        <v>0</v>
      </c>
      <c r="L641" s="49"/>
      <c r="M641" s="238">
        <v>0</v>
      </c>
      <c r="N641" s="49"/>
      <c r="O641" s="255"/>
      <c r="P641" s="224"/>
      <c r="Q641" s="224"/>
    </row>
    <row r="642" spans="7:17" hidden="1" x14ac:dyDescent="0.25">
      <c r="G642" s="51" t="s">
        <v>5</v>
      </c>
      <c r="H642" s="51"/>
      <c r="I642" s="79"/>
      <c r="J642" s="48">
        <v>300</v>
      </c>
      <c r="K642" s="49">
        <v>0</v>
      </c>
      <c r="L642" s="49"/>
      <c r="M642" s="238">
        <v>0</v>
      </c>
      <c r="N642" s="49"/>
      <c r="O642" s="255"/>
      <c r="P642" s="224"/>
      <c r="Q642" s="224"/>
    </row>
    <row r="643" spans="7:17" hidden="1" x14ac:dyDescent="0.25">
      <c r="G643" s="51" t="s">
        <v>1</v>
      </c>
      <c r="H643" s="51"/>
      <c r="I643" s="79"/>
      <c r="J643" s="48">
        <v>800</v>
      </c>
      <c r="K643" s="49"/>
      <c r="L643" s="49"/>
      <c r="M643" s="238"/>
      <c r="N643" s="49"/>
      <c r="O643" s="255"/>
      <c r="P643" s="224"/>
      <c r="Q643" s="224"/>
    </row>
    <row r="644" spans="7:17" ht="31.2" x14ac:dyDescent="0.25">
      <c r="G644" s="63" t="s">
        <v>637</v>
      </c>
      <c r="H644" s="63"/>
      <c r="I644" s="64" t="s">
        <v>296</v>
      </c>
      <c r="J644" s="48"/>
      <c r="K644" s="49">
        <f>SUM(K647)</f>
        <v>5580</v>
      </c>
      <c r="L644" s="49">
        <f>SUM(L647)</f>
        <v>0</v>
      </c>
      <c r="M644" s="238">
        <f>SUM(M647)</f>
        <v>5580</v>
      </c>
      <c r="N644" s="49">
        <f>SUM(N647)</f>
        <v>0</v>
      </c>
      <c r="O644" s="255">
        <f>SUM(O647)</f>
        <v>700000</v>
      </c>
      <c r="P644" s="224"/>
      <c r="Q644" s="224"/>
    </row>
    <row r="645" spans="7:17" ht="31.2" hidden="1" x14ac:dyDescent="0.25">
      <c r="G645" s="51" t="s">
        <v>323</v>
      </c>
      <c r="H645" s="51"/>
      <c r="I645" s="47" t="s">
        <v>322</v>
      </c>
      <c r="J645" s="48"/>
      <c r="K645" s="49">
        <f>K646</f>
        <v>0</v>
      </c>
      <c r="L645" s="49"/>
      <c r="M645" s="238">
        <f>M646</f>
        <v>0</v>
      </c>
      <c r="N645" s="49"/>
      <c r="O645" s="255"/>
      <c r="P645" s="224"/>
      <c r="Q645" s="224"/>
    </row>
    <row r="646" spans="7:17" ht="40.5" hidden="1" customHeight="1" x14ac:dyDescent="0.25">
      <c r="G646" s="51" t="s">
        <v>2</v>
      </c>
      <c r="H646" s="51"/>
      <c r="I646" s="47"/>
      <c r="J646" s="48">
        <v>200</v>
      </c>
      <c r="K646" s="49"/>
      <c r="L646" s="49"/>
      <c r="M646" s="238"/>
      <c r="N646" s="49"/>
      <c r="O646" s="255"/>
      <c r="P646" s="224"/>
      <c r="Q646" s="224"/>
    </row>
    <row r="647" spans="7:17" ht="31.2" x14ac:dyDescent="0.25">
      <c r="G647" s="51" t="s">
        <v>733</v>
      </c>
      <c r="H647" s="51"/>
      <c r="I647" s="47" t="s">
        <v>297</v>
      </c>
      <c r="J647" s="48"/>
      <c r="K647" s="49">
        <f>K648</f>
        <v>5580</v>
      </c>
      <c r="L647" s="49"/>
      <c r="M647" s="238">
        <f>M648</f>
        <v>5580</v>
      </c>
      <c r="N647" s="49">
        <f>N648</f>
        <v>0</v>
      </c>
      <c r="O647" s="255">
        <f>O648</f>
        <v>700000</v>
      </c>
      <c r="P647" s="224"/>
      <c r="Q647" s="224"/>
    </row>
    <row r="648" spans="7:17" ht="31.2" x14ac:dyDescent="0.25">
      <c r="G648" s="51" t="s">
        <v>2</v>
      </c>
      <c r="H648" s="51"/>
      <c r="I648" s="47"/>
      <c r="J648" s="48">
        <v>200</v>
      </c>
      <c r="K648" s="49">
        <v>5580</v>
      </c>
      <c r="L648" s="49"/>
      <c r="M648" s="238">
        <v>5580</v>
      </c>
      <c r="N648" s="49"/>
      <c r="O648" s="255">
        <v>700000</v>
      </c>
      <c r="P648" s="224"/>
      <c r="Q648" s="224"/>
    </row>
    <row r="649" spans="7:17" ht="31.2" x14ac:dyDescent="0.25">
      <c r="G649" s="63" t="s">
        <v>638</v>
      </c>
      <c r="H649" s="51"/>
      <c r="I649" s="64" t="s">
        <v>416</v>
      </c>
      <c r="J649" s="48"/>
      <c r="K649" s="49">
        <f>SUM(K652+K654+K656+K650+K658)</f>
        <v>41258</v>
      </c>
      <c r="L649" s="49">
        <f>SUM(L652+L654+L656+L650)</f>
        <v>0</v>
      </c>
      <c r="M649" s="238">
        <f>SUM(M652+M654+M656+M650)</f>
        <v>63768</v>
      </c>
      <c r="N649" s="49">
        <f>SUM(N652+N654+N656+N650+N658)</f>
        <v>0</v>
      </c>
      <c r="O649" s="255">
        <f>SUM(O652+O654+O656+O650+O658)</f>
        <v>63302</v>
      </c>
      <c r="P649" s="224"/>
      <c r="Q649" s="224"/>
    </row>
    <row r="650" spans="7:17" ht="31.2" hidden="1" x14ac:dyDescent="0.25">
      <c r="G650" s="51" t="s">
        <v>324</v>
      </c>
      <c r="H650" s="51"/>
      <c r="I650" s="47" t="s">
        <v>487</v>
      </c>
      <c r="J650" s="48"/>
      <c r="K650" s="49">
        <f>K651</f>
        <v>0</v>
      </c>
      <c r="L650" s="49">
        <f>L651</f>
        <v>0</v>
      </c>
      <c r="M650" s="238">
        <f>M651</f>
        <v>0</v>
      </c>
      <c r="N650" s="49">
        <f>N651</f>
        <v>0</v>
      </c>
      <c r="O650" s="255">
        <f>O651</f>
        <v>0</v>
      </c>
      <c r="P650" s="224"/>
      <c r="Q650" s="224"/>
    </row>
    <row r="651" spans="7:17" hidden="1" x14ac:dyDescent="0.25">
      <c r="G651" s="51" t="s">
        <v>1</v>
      </c>
      <c r="H651" s="51"/>
      <c r="I651" s="47"/>
      <c r="J651" s="48">
        <v>800</v>
      </c>
      <c r="K651" s="49"/>
      <c r="L651" s="49">
        <v>0</v>
      </c>
      <c r="M651" s="238">
        <f>K651+L651</f>
        <v>0</v>
      </c>
      <c r="N651" s="49"/>
      <c r="O651" s="255">
        <f>N651+K651</f>
        <v>0</v>
      </c>
      <c r="P651" s="224"/>
      <c r="Q651" s="224"/>
    </row>
    <row r="652" spans="7:17" ht="46.8" hidden="1" x14ac:dyDescent="0.25">
      <c r="G652" s="51" t="s">
        <v>327</v>
      </c>
      <c r="H652" s="51"/>
      <c r="I652" s="47" t="s">
        <v>417</v>
      </c>
      <c r="J652" s="48"/>
      <c r="K652" s="49">
        <f>K653</f>
        <v>0</v>
      </c>
      <c r="L652" s="49"/>
      <c r="M652" s="238">
        <f>M653</f>
        <v>50000</v>
      </c>
      <c r="N652" s="49">
        <f>N653</f>
        <v>0</v>
      </c>
      <c r="O652" s="255">
        <f>O653</f>
        <v>0</v>
      </c>
      <c r="P652" s="224"/>
      <c r="Q652" s="224"/>
    </row>
    <row r="653" spans="7:17" hidden="1" x14ac:dyDescent="0.25">
      <c r="G653" s="51" t="s">
        <v>5</v>
      </c>
      <c r="H653" s="51"/>
      <c r="I653" s="47"/>
      <c r="J653" s="48">
        <v>300</v>
      </c>
      <c r="K653" s="49"/>
      <c r="L653" s="49"/>
      <c r="M653" s="238">
        <v>50000</v>
      </c>
      <c r="N653" s="49"/>
      <c r="O653" s="255">
        <f>N653+K653</f>
        <v>0</v>
      </c>
      <c r="P653" s="224"/>
      <c r="Q653" s="224"/>
    </row>
    <row r="654" spans="7:17" s="96" customFormat="1" x14ac:dyDescent="0.25">
      <c r="G654" s="51" t="s">
        <v>419</v>
      </c>
      <c r="H654" s="51"/>
      <c r="I654" s="47" t="s">
        <v>418</v>
      </c>
      <c r="J654" s="48"/>
      <c r="K654" s="49">
        <f>K655</f>
        <v>41258</v>
      </c>
      <c r="L654" s="49"/>
      <c r="M654" s="238">
        <f>M655</f>
        <v>13768</v>
      </c>
      <c r="N654" s="49">
        <f>N655</f>
        <v>0</v>
      </c>
      <c r="O654" s="255">
        <f>O655</f>
        <v>63302</v>
      </c>
      <c r="P654" s="224"/>
      <c r="Q654" s="224"/>
    </row>
    <row r="655" spans="7:17" s="96" customFormat="1" ht="31.2" x14ac:dyDescent="0.25">
      <c r="G655" s="51" t="s">
        <v>2</v>
      </c>
      <c r="H655" s="51"/>
      <c r="I655" s="47"/>
      <c r="J655" s="48">
        <v>200</v>
      </c>
      <c r="K655" s="49">
        <v>41258</v>
      </c>
      <c r="L655" s="49"/>
      <c r="M655" s="238">
        <v>13768</v>
      </c>
      <c r="N655" s="49"/>
      <c r="O655" s="255">
        <f>55636+7666</f>
        <v>63302</v>
      </c>
      <c r="P655" s="224"/>
      <c r="Q655" s="224"/>
    </row>
    <row r="656" spans="7:17" s="96" customFormat="1" ht="46.8" hidden="1" x14ac:dyDescent="0.25">
      <c r="G656" s="51" t="s">
        <v>452</v>
      </c>
      <c r="H656" s="51"/>
      <c r="I656" s="47" t="s">
        <v>453</v>
      </c>
      <c r="J656" s="48"/>
      <c r="K656" s="49">
        <f>K657</f>
        <v>0</v>
      </c>
      <c r="L656" s="49">
        <f>L657</f>
        <v>0</v>
      </c>
      <c r="M656" s="238">
        <f>M657</f>
        <v>0</v>
      </c>
      <c r="N656" s="49"/>
      <c r="O656" s="255"/>
      <c r="P656" s="224"/>
      <c r="Q656" s="224"/>
    </row>
    <row r="657" spans="7:17" s="96" customFormat="1" ht="38.1" hidden="1" customHeight="1" x14ac:dyDescent="0.25">
      <c r="G657" s="51" t="s">
        <v>10</v>
      </c>
      <c r="H657" s="51"/>
      <c r="I657" s="47"/>
      <c r="J657" s="48">
        <v>400</v>
      </c>
      <c r="K657" s="49">
        <v>0</v>
      </c>
      <c r="L657" s="49">
        <v>0</v>
      </c>
      <c r="M657" s="238">
        <f>K657+L657</f>
        <v>0</v>
      </c>
      <c r="N657" s="49"/>
      <c r="O657" s="255"/>
      <c r="P657" s="224"/>
      <c r="Q657" s="224"/>
    </row>
    <row r="658" spans="7:17" s="96" customFormat="1" ht="31.2" hidden="1" x14ac:dyDescent="0.25">
      <c r="G658" s="208" t="s">
        <v>514</v>
      </c>
      <c r="H658" s="51"/>
      <c r="I658" s="47" t="s">
        <v>513</v>
      </c>
      <c r="J658" s="48"/>
      <c r="K658" s="49">
        <f>K659</f>
        <v>0</v>
      </c>
      <c r="L658" s="49"/>
      <c r="M658" s="238"/>
      <c r="N658" s="49">
        <f>N659</f>
        <v>0</v>
      </c>
      <c r="O658" s="255">
        <f>O659</f>
        <v>0</v>
      </c>
      <c r="P658" s="224"/>
      <c r="Q658" s="224"/>
    </row>
    <row r="659" spans="7:17" s="96" customFormat="1" ht="31.2" hidden="1" x14ac:dyDescent="0.25">
      <c r="G659" s="51" t="s">
        <v>2</v>
      </c>
      <c r="H659" s="51"/>
      <c r="I659" s="47"/>
      <c r="J659" s="48">
        <v>200</v>
      </c>
      <c r="K659" s="49"/>
      <c r="L659" s="49"/>
      <c r="M659" s="238"/>
      <c r="N659" s="49"/>
      <c r="O659" s="255">
        <f>N659+K659</f>
        <v>0</v>
      </c>
      <c r="P659" s="224"/>
      <c r="Q659" s="224"/>
    </row>
    <row r="660" spans="7:17" s="96" customFormat="1" ht="31.2" x14ac:dyDescent="0.25">
      <c r="G660" s="63" t="s">
        <v>739</v>
      </c>
      <c r="H660" s="51"/>
      <c r="I660" s="214" t="s">
        <v>736</v>
      </c>
      <c r="J660" s="48"/>
      <c r="K660" s="49"/>
      <c r="L660" s="49"/>
      <c r="M660" s="238"/>
      <c r="N660" s="49"/>
      <c r="O660" s="255">
        <f>O661</f>
        <v>92907</v>
      </c>
      <c r="P660" s="224"/>
      <c r="Q660" s="224"/>
    </row>
    <row r="661" spans="7:17" s="96" customFormat="1" ht="59.25" customHeight="1" x14ac:dyDescent="0.25">
      <c r="G661" s="51" t="s">
        <v>738</v>
      </c>
      <c r="H661" s="51"/>
      <c r="I661" s="3" t="s">
        <v>737</v>
      </c>
      <c r="J661" s="48"/>
      <c r="K661" s="49"/>
      <c r="L661" s="49"/>
      <c r="M661" s="238"/>
      <c r="N661" s="49"/>
      <c r="O661" s="255">
        <f>O662</f>
        <v>92907</v>
      </c>
      <c r="P661" s="224"/>
      <c r="Q661" s="224"/>
    </row>
    <row r="662" spans="7:17" s="96" customFormat="1" ht="31.2" x14ac:dyDescent="0.25">
      <c r="G662" s="51" t="s">
        <v>2</v>
      </c>
      <c r="H662" s="51"/>
      <c r="I662" s="47"/>
      <c r="J662" s="48">
        <v>200</v>
      </c>
      <c r="K662" s="49"/>
      <c r="L662" s="49"/>
      <c r="M662" s="238"/>
      <c r="N662" s="49"/>
      <c r="O662" s="255">
        <f>1858147-1288625-476615</f>
        <v>92907</v>
      </c>
      <c r="P662" s="224"/>
      <c r="Q662" s="224"/>
    </row>
    <row r="663" spans="7:17" ht="46.8" x14ac:dyDescent="0.25">
      <c r="G663" s="2" t="s">
        <v>729</v>
      </c>
      <c r="H663" s="51"/>
      <c r="I663" s="115" t="s">
        <v>378</v>
      </c>
      <c r="J663" s="48"/>
      <c r="K663" s="127">
        <f t="shared" ref="K663:O666" si="55">K664</f>
        <v>200000</v>
      </c>
      <c r="L663" s="49">
        <f t="shared" si="55"/>
        <v>0</v>
      </c>
      <c r="M663" s="238">
        <f t="shared" si="55"/>
        <v>200000</v>
      </c>
      <c r="N663" s="49">
        <f t="shared" si="55"/>
        <v>0</v>
      </c>
      <c r="O663" s="255">
        <f t="shared" si="55"/>
        <v>200000</v>
      </c>
      <c r="P663" s="224"/>
      <c r="Q663" s="224"/>
    </row>
    <row r="664" spans="7:17" ht="62.4" x14ac:dyDescent="0.25">
      <c r="G664" s="14" t="s">
        <v>730</v>
      </c>
      <c r="H664" s="51"/>
      <c r="I664" s="118" t="s">
        <v>379</v>
      </c>
      <c r="J664" s="48"/>
      <c r="K664" s="49">
        <f t="shared" si="55"/>
        <v>200000</v>
      </c>
      <c r="L664" s="49">
        <f t="shared" si="55"/>
        <v>0</v>
      </c>
      <c r="M664" s="238">
        <f t="shared" si="55"/>
        <v>200000</v>
      </c>
      <c r="N664" s="49">
        <f t="shared" si="55"/>
        <v>0</v>
      </c>
      <c r="O664" s="255">
        <f t="shared" si="55"/>
        <v>200000</v>
      </c>
      <c r="P664" s="224"/>
      <c r="Q664" s="224"/>
    </row>
    <row r="665" spans="7:17" ht="46.8" x14ac:dyDescent="0.25">
      <c r="G665" s="120" t="s">
        <v>385</v>
      </c>
      <c r="H665" s="51"/>
      <c r="I665" s="152" t="s">
        <v>380</v>
      </c>
      <c r="J665" s="48"/>
      <c r="K665" s="49">
        <f t="shared" si="55"/>
        <v>200000</v>
      </c>
      <c r="L665" s="49">
        <f t="shared" si="55"/>
        <v>0</v>
      </c>
      <c r="M665" s="238">
        <f t="shared" si="55"/>
        <v>200000</v>
      </c>
      <c r="N665" s="49">
        <f t="shared" si="55"/>
        <v>0</v>
      </c>
      <c r="O665" s="255">
        <f t="shared" si="55"/>
        <v>200000</v>
      </c>
      <c r="P665" s="224"/>
      <c r="Q665" s="224"/>
    </row>
    <row r="666" spans="7:17" ht="31.2" x14ac:dyDescent="0.25">
      <c r="G666" s="153" t="s">
        <v>381</v>
      </c>
      <c r="H666" s="51"/>
      <c r="I666" s="118" t="s">
        <v>449</v>
      </c>
      <c r="J666" s="48"/>
      <c r="K666" s="49">
        <f t="shared" si="55"/>
        <v>200000</v>
      </c>
      <c r="L666" s="49">
        <f t="shared" si="55"/>
        <v>0</v>
      </c>
      <c r="M666" s="238">
        <f t="shared" si="55"/>
        <v>200000</v>
      </c>
      <c r="N666" s="49">
        <f t="shared" si="55"/>
        <v>0</v>
      </c>
      <c r="O666" s="255">
        <f t="shared" si="55"/>
        <v>200000</v>
      </c>
      <c r="P666" s="224"/>
      <c r="Q666" s="224"/>
    </row>
    <row r="667" spans="7:17" ht="31.2" x14ac:dyDescent="0.25">
      <c r="G667" s="117" t="s">
        <v>2</v>
      </c>
      <c r="H667" s="51"/>
      <c r="I667" s="47"/>
      <c r="J667" s="48">
        <v>200</v>
      </c>
      <c r="K667" s="49">
        <v>200000</v>
      </c>
      <c r="L667" s="49">
        <v>0</v>
      </c>
      <c r="M667" s="238">
        <f>K667+L667</f>
        <v>200000</v>
      </c>
      <c r="N667" s="49"/>
      <c r="O667" s="255">
        <v>200000</v>
      </c>
      <c r="P667" s="224"/>
      <c r="Q667" s="224"/>
    </row>
    <row r="668" spans="7:17" x14ac:dyDescent="0.25">
      <c r="G668" s="121" t="s">
        <v>8</v>
      </c>
      <c r="H668" s="51"/>
      <c r="I668" s="60" t="s">
        <v>302</v>
      </c>
      <c r="J668" s="48"/>
      <c r="K668" s="127">
        <f>K669+K673+K676+K678+K685+K694+K697+K671</f>
        <v>21044514</v>
      </c>
      <c r="L668" s="49"/>
      <c r="M668" s="239">
        <f>M669+M673+M676+M678+M685+M694+M697</f>
        <v>20719427</v>
      </c>
      <c r="N668" s="127">
        <f>N669+N673+N676+N678+N685+N694+N697+N671</f>
        <v>0</v>
      </c>
      <c r="O668" s="254">
        <f>O669+O673+O676+O678+O685+O694+O697+O671+O690+O692+O683</f>
        <v>23579292</v>
      </c>
      <c r="P668" s="265"/>
      <c r="Q668" s="265"/>
    </row>
    <row r="669" spans="7:17" s="96" customFormat="1" ht="46.8" x14ac:dyDescent="0.25">
      <c r="G669" s="51" t="s">
        <v>333</v>
      </c>
      <c r="H669" s="51"/>
      <c r="I669" s="47" t="s">
        <v>332</v>
      </c>
      <c r="J669" s="122"/>
      <c r="K669" s="49">
        <f>K670</f>
        <v>1765</v>
      </c>
      <c r="L669" s="127"/>
      <c r="M669" s="238">
        <f>M670</f>
        <v>1645</v>
      </c>
      <c r="N669" s="49">
        <f>N670</f>
        <v>0</v>
      </c>
      <c r="O669" s="255">
        <f>O670</f>
        <v>307</v>
      </c>
      <c r="P669" s="224"/>
      <c r="Q669" s="224"/>
    </row>
    <row r="670" spans="7:17" s="96" customFormat="1" ht="31.2" x14ac:dyDescent="0.25">
      <c r="G670" s="51" t="s">
        <v>2</v>
      </c>
      <c r="H670" s="51"/>
      <c r="I670" s="60"/>
      <c r="J670" s="48">
        <v>200</v>
      </c>
      <c r="K670" s="49">
        <v>1765</v>
      </c>
      <c r="L670" s="49"/>
      <c r="M670" s="238">
        <v>1645</v>
      </c>
      <c r="N670" s="49"/>
      <c r="O670" s="255">
        <v>307</v>
      </c>
      <c r="P670" s="224"/>
      <c r="Q670" s="224"/>
    </row>
    <row r="671" spans="7:17" s="96" customFormat="1" ht="31.2" hidden="1" x14ac:dyDescent="0.25">
      <c r="G671" s="51" t="s">
        <v>550</v>
      </c>
      <c r="H671" s="51"/>
      <c r="I671" s="47" t="s">
        <v>549</v>
      </c>
      <c r="J671" s="48"/>
      <c r="K671" s="49">
        <f>K672</f>
        <v>413740</v>
      </c>
      <c r="L671" s="49"/>
      <c r="M671" s="238"/>
      <c r="N671" s="49">
        <f>N672</f>
        <v>0</v>
      </c>
      <c r="O671" s="255">
        <f>O672</f>
        <v>0</v>
      </c>
      <c r="P671" s="224"/>
      <c r="Q671" s="224"/>
    </row>
    <row r="672" spans="7:17" s="96" customFormat="1" ht="31.2" hidden="1" x14ac:dyDescent="0.25">
      <c r="G672" s="51" t="s">
        <v>2</v>
      </c>
      <c r="H672" s="51"/>
      <c r="I672" s="60"/>
      <c r="J672" s="48">
        <v>200</v>
      </c>
      <c r="K672" s="49">
        <v>413740</v>
      </c>
      <c r="L672" s="49"/>
      <c r="M672" s="238"/>
      <c r="N672" s="49">
        <v>0</v>
      </c>
      <c r="O672" s="255"/>
      <c r="P672" s="224"/>
      <c r="Q672" s="224"/>
    </row>
    <row r="673" spans="7:17" s="96" customFormat="1" ht="62.4" x14ac:dyDescent="0.25">
      <c r="G673" s="51" t="s">
        <v>72</v>
      </c>
      <c r="H673" s="51"/>
      <c r="I673" s="47" t="s">
        <v>303</v>
      </c>
      <c r="J673" s="48"/>
      <c r="K673" s="49">
        <f>K674+K675</f>
        <v>977978</v>
      </c>
      <c r="L673" s="49"/>
      <c r="M673" s="238">
        <f>M674+M675</f>
        <v>1543588</v>
      </c>
      <c r="N673" s="49">
        <f>N674+N675</f>
        <v>0</v>
      </c>
      <c r="O673" s="255">
        <f>O674+O675</f>
        <v>972777</v>
      </c>
      <c r="P673" s="224"/>
      <c r="Q673" s="224"/>
    </row>
    <row r="674" spans="7:17" s="96" customFormat="1" ht="78" x14ac:dyDescent="0.25">
      <c r="G674" s="51" t="s">
        <v>3</v>
      </c>
      <c r="H674" s="51"/>
      <c r="I674" s="47" t="s">
        <v>0</v>
      </c>
      <c r="J674" s="48">
        <v>100</v>
      </c>
      <c r="K674" s="49">
        <v>743452</v>
      </c>
      <c r="L674" s="49"/>
      <c r="M674" s="238">
        <v>1105241</v>
      </c>
      <c r="N674" s="49"/>
      <c r="O674" s="287">
        <v>680390</v>
      </c>
      <c r="P674" s="224"/>
      <c r="Q674" s="224"/>
    </row>
    <row r="675" spans="7:17" s="96" customFormat="1" ht="31.2" x14ac:dyDescent="0.25">
      <c r="G675" s="51" t="s">
        <v>2</v>
      </c>
      <c r="H675" s="51"/>
      <c r="I675" s="47" t="s">
        <v>0</v>
      </c>
      <c r="J675" s="48">
        <v>200</v>
      </c>
      <c r="K675" s="49">
        <v>234526</v>
      </c>
      <c r="L675" s="49"/>
      <c r="M675" s="238">
        <v>438347</v>
      </c>
      <c r="N675" s="49"/>
      <c r="O675" s="255">
        <v>292387</v>
      </c>
      <c r="P675" s="224"/>
      <c r="Q675" s="224"/>
    </row>
    <row r="676" spans="7:17" x14ac:dyDescent="0.25">
      <c r="G676" s="51" t="s">
        <v>69</v>
      </c>
      <c r="H676" s="51"/>
      <c r="I676" s="47" t="s">
        <v>304</v>
      </c>
      <c r="J676" s="48" t="s">
        <v>0</v>
      </c>
      <c r="K676" s="49">
        <f>K677</f>
        <v>1556800</v>
      </c>
      <c r="L676" s="49"/>
      <c r="M676" s="238">
        <f>M677</f>
        <v>1565300</v>
      </c>
      <c r="N676" s="49">
        <f>N677</f>
        <v>0</v>
      </c>
      <c r="O676" s="255">
        <f>O677</f>
        <v>3390366</v>
      </c>
      <c r="P676" s="224"/>
      <c r="Q676" s="224"/>
    </row>
    <row r="677" spans="7:17" ht="78" x14ac:dyDescent="0.25">
      <c r="G677" s="51" t="s">
        <v>3</v>
      </c>
      <c r="H677" s="51"/>
      <c r="I677" s="52"/>
      <c r="J677" s="48">
        <v>100</v>
      </c>
      <c r="K677" s="49">
        <v>1556800</v>
      </c>
      <c r="L677" s="49"/>
      <c r="M677" s="238">
        <v>1565300</v>
      </c>
      <c r="N677" s="49"/>
      <c r="O677" s="271">
        <f>1652860+1299667+303461+134378</f>
        <v>3390366</v>
      </c>
      <c r="P677" s="224"/>
      <c r="Q677" s="224"/>
    </row>
    <row r="678" spans="7:17" ht="46.8" x14ac:dyDescent="0.25">
      <c r="G678" s="51" t="s">
        <v>77</v>
      </c>
      <c r="H678" s="51"/>
      <c r="I678" s="47" t="s">
        <v>307</v>
      </c>
      <c r="J678" s="48"/>
      <c r="K678" s="49">
        <f>K679+K680+K682</f>
        <v>16987500</v>
      </c>
      <c r="L678" s="49">
        <f>L679+L680+L682</f>
        <v>0</v>
      </c>
      <c r="M678" s="238">
        <f>M679+M680+M682</f>
        <v>16987500</v>
      </c>
      <c r="N678" s="49">
        <f>N679+N680+N682</f>
        <v>0</v>
      </c>
      <c r="O678" s="255">
        <f>O679+O680+O682+O681</f>
        <v>17227366</v>
      </c>
      <c r="P678" s="224"/>
      <c r="Q678" s="224"/>
    </row>
    <row r="679" spans="7:17" ht="78" x14ac:dyDescent="0.25">
      <c r="G679" s="51" t="s">
        <v>3</v>
      </c>
      <c r="H679" s="51"/>
      <c r="I679" s="47" t="s">
        <v>0</v>
      </c>
      <c r="J679" s="48">
        <v>100</v>
      </c>
      <c r="K679" s="49">
        <v>15080500</v>
      </c>
      <c r="L679" s="49"/>
      <c r="M679" s="238">
        <f>K679+L679</f>
        <v>15080500</v>
      </c>
      <c r="N679" s="49"/>
      <c r="O679" s="282">
        <f>17316205-1299667-303461-218703-172696</f>
        <v>15321678</v>
      </c>
      <c r="P679" s="224"/>
      <c r="Q679" s="224"/>
    </row>
    <row r="680" spans="7:17" ht="31.2" x14ac:dyDescent="0.25">
      <c r="G680" s="51" t="s">
        <v>2</v>
      </c>
      <c r="H680" s="51"/>
      <c r="I680" s="47" t="s">
        <v>0</v>
      </c>
      <c r="J680" s="48">
        <v>200</v>
      </c>
      <c r="K680" s="49">
        <v>1807000</v>
      </c>
      <c r="L680" s="49">
        <v>0</v>
      </c>
      <c r="M680" s="238">
        <f>K680+L680</f>
        <v>1807000</v>
      </c>
      <c r="N680" s="49"/>
      <c r="O680" s="282">
        <f>1471985-8840-15780+110000</f>
        <v>1557365</v>
      </c>
      <c r="P680" s="224"/>
      <c r="Q680" s="224"/>
    </row>
    <row r="681" spans="7:17" x14ac:dyDescent="0.25">
      <c r="G681" s="51" t="s">
        <v>5</v>
      </c>
      <c r="H681" s="51"/>
      <c r="I681" s="47"/>
      <c r="J681" s="48">
        <v>300</v>
      </c>
      <c r="K681" s="49"/>
      <c r="L681" s="49"/>
      <c r="M681" s="238"/>
      <c r="N681" s="49"/>
      <c r="O681" s="282">
        <v>218703</v>
      </c>
      <c r="P681" s="224"/>
      <c r="Q681" s="224"/>
    </row>
    <row r="682" spans="7:17" x14ac:dyDescent="0.25">
      <c r="G682" s="51" t="s">
        <v>1</v>
      </c>
      <c r="H682" s="51"/>
      <c r="I682" s="47" t="s">
        <v>0</v>
      </c>
      <c r="J682" s="48">
        <v>800</v>
      </c>
      <c r="K682" s="49">
        <v>100000</v>
      </c>
      <c r="L682" s="49">
        <v>0</v>
      </c>
      <c r="M682" s="238">
        <f>K682+L682</f>
        <v>100000</v>
      </c>
      <c r="N682" s="49"/>
      <c r="O682" s="282">
        <f>105000+8840+15780</f>
        <v>129620</v>
      </c>
      <c r="P682" s="224"/>
      <c r="Q682" s="224"/>
    </row>
    <row r="683" spans="7:17" ht="31.2" x14ac:dyDescent="0.25">
      <c r="G683" s="14" t="s">
        <v>653</v>
      </c>
      <c r="H683" s="51"/>
      <c r="I683" s="47" t="s">
        <v>589</v>
      </c>
      <c r="J683" s="48"/>
      <c r="K683" s="49"/>
      <c r="L683" s="49"/>
      <c r="M683" s="238"/>
      <c r="N683" s="49"/>
      <c r="O683" s="255">
        <f>O684</f>
        <v>0</v>
      </c>
      <c r="P683" s="224"/>
      <c r="Q683" s="224"/>
    </row>
    <row r="684" spans="7:17" ht="31.2" x14ac:dyDescent="0.25">
      <c r="G684" s="51" t="s">
        <v>2</v>
      </c>
      <c r="H684" s="51"/>
      <c r="I684" s="47"/>
      <c r="J684" s="48">
        <v>200</v>
      </c>
      <c r="K684" s="49"/>
      <c r="L684" s="49"/>
      <c r="M684" s="238"/>
      <c r="N684" s="49"/>
      <c r="O684" s="255"/>
      <c r="P684" s="224"/>
      <c r="Q684" s="224"/>
    </row>
    <row r="685" spans="7:17" x14ac:dyDescent="0.25">
      <c r="G685" s="51" t="s">
        <v>95</v>
      </c>
      <c r="H685" s="51"/>
      <c r="I685" s="47" t="s">
        <v>313</v>
      </c>
      <c r="J685" s="48"/>
      <c r="K685" s="49">
        <f>K686+K689</f>
        <v>200000</v>
      </c>
      <c r="L685" s="49">
        <f>L686+L689</f>
        <v>0</v>
      </c>
      <c r="M685" s="238">
        <f>M686+M689</f>
        <v>200000</v>
      </c>
      <c r="N685" s="49">
        <f>N686+N689</f>
        <v>0</v>
      </c>
      <c r="O685" s="255">
        <f>O687+O688+O689</f>
        <v>1000000</v>
      </c>
      <c r="P685" s="224"/>
      <c r="Q685" s="224"/>
    </row>
    <row r="686" spans="7:17" hidden="1" x14ac:dyDescent="0.25">
      <c r="G686" s="51" t="s">
        <v>5</v>
      </c>
      <c r="H686" s="51"/>
      <c r="I686" s="47"/>
      <c r="J686" s="48">
        <v>300</v>
      </c>
      <c r="K686" s="49"/>
      <c r="L686" s="49"/>
      <c r="M686" s="238">
        <f>K686+L686</f>
        <v>0</v>
      </c>
      <c r="N686" s="49"/>
      <c r="O686" s="255"/>
      <c r="P686" s="224"/>
      <c r="Q686" s="224"/>
    </row>
    <row r="687" spans="7:17" ht="31.2" x14ac:dyDescent="0.25">
      <c r="G687" s="51" t="s">
        <v>2</v>
      </c>
      <c r="H687" s="51"/>
      <c r="I687" s="47"/>
      <c r="J687" s="48">
        <v>200</v>
      </c>
      <c r="K687" s="49"/>
      <c r="L687" s="49"/>
      <c r="M687" s="238"/>
      <c r="N687" s="49"/>
      <c r="O687" s="255"/>
      <c r="P687" s="224"/>
      <c r="Q687" s="224"/>
    </row>
    <row r="688" spans="7:17" x14ac:dyDescent="0.25">
      <c r="G688" s="51" t="s">
        <v>5</v>
      </c>
      <c r="H688" s="51"/>
      <c r="I688" s="47"/>
      <c r="J688" s="48">
        <v>300</v>
      </c>
      <c r="K688" s="49"/>
      <c r="L688" s="49"/>
      <c r="M688" s="238"/>
      <c r="N688" s="49"/>
      <c r="O688" s="255">
        <v>60000</v>
      </c>
      <c r="P688" s="224"/>
      <c r="Q688" s="224"/>
    </row>
    <row r="689" spans="7:17" x14ac:dyDescent="0.25">
      <c r="G689" s="51" t="s">
        <v>1</v>
      </c>
      <c r="H689" s="51"/>
      <c r="I689" s="47" t="s">
        <v>0</v>
      </c>
      <c r="J689" s="48">
        <v>800</v>
      </c>
      <c r="K689" s="49">
        <v>200000</v>
      </c>
      <c r="L689" s="49"/>
      <c r="M689" s="238">
        <f>K689+L689</f>
        <v>200000</v>
      </c>
      <c r="N689" s="49"/>
      <c r="O689" s="255">
        <f>1000000-60000</f>
        <v>940000</v>
      </c>
      <c r="P689" s="224"/>
      <c r="Q689" s="224"/>
    </row>
    <row r="690" spans="7:17" ht="46.8" hidden="1" x14ac:dyDescent="0.25">
      <c r="G690" s="51" t="s">
        <v>588</v>
      </c>
      <c r="H690" s="51"/>
      <c r="I690" s="47" t="s">
        <v>589</v>
      </c>
      <c r="J690" s="48"/>
      <c r="K690" s="49"/>
      <c r="L690" s="49"/>
      <c r="M690" s="238"/>
      <c r="N690" s="49"/>
      <c r="O690" s="271">
        <f>O691</f>
        <v>0</v>
      </c>
      <c r="P690" s="217"/>
      <c r="Q690" s="271"/>
    </row>
    <row r="691" spans="7:17" hidden="1" x14ac:dyDescent="0.25">
      <c r="G691" s="51" t="s">
        <v>1</v>
      </c>
      <c r="H691" s="51"/>
      <c r="I691" s="47" t="s">
        <v>0</v>
      </c>
      <c r="J691" s="48">
        <v>800</v>
      </c>
      <c r="K691" s="49"/>
      <c r="L691" s="49"/>
      <c r="M691" s="238"/>
      <c r="N691" s="49"/>
      <c r="O691" s="271"/>
      <c r="P691" s="217"/>
      <c r="Q691" s="271"/>
    </row>
    <row r="692" spans="7:17" ht="31.2" hidden="1" x14ac:dyDescent="0.25">
      <c r="G692" s="51" t="s">
        <v>591</v>
      </c>
      <c r="H692" s="51"/>
      <c r="I692" s="47" t="s">
        <v>590</v>
      </c>
      <c r="J692" s="48"/>
      <c r="K692" s="49"/>
      <c r="L692" s="49"/>
      <c r="M692" s="238"/>
      <c r="N692" s="49"/>
      <c r="O692" s="271">
        <f>O693</f>
        <v>0</v>
      </c>
      <c r="P692" s="217"/>
      <c r="Q692" s="271"/>
    </row>
    <row r="693" spans="7:17" hidden="1" x14ac:dyDescent="0.25">
      <c r="G693" s="51" t="s">
        <v>5</v>
      </c>
      <c r="H693" s="51"/>
      <c r="I693" s="47"/>
      <c r="J693" s="48">
        <v>300</v>
      </c>
      <c r="K693" s="49"/>
      <c r="L693" s="49"/>
      <c r="M693" s="238"/>
      <c r="N693" s="49"/>
      <c r="O693" s="271"/>
      <c r="P693" s="217"/>
      <c r="Q693" s="271"/>
    </row>
    <row r="694" spans="7:17" s="96" customFormat="1" ht="46.8" x14ac:dyDescent="0.25">
      <c r="G694" s="51" t="s">
        <v>740</v>
      </c>
      <c r="H694" s="51"/>
      <c r="I694" s="47" t="s">
        <v>315</v>
      </c>
      <c r="J694" s="48" t="s">
        <v>0</v>
      </c>
      <c r="K694" s="49">
        <f>K695+K696</f>
        <v>886052</v>
      </c>
      <c r="L694" s="49"/>
      <c r="M694" s="238">
        <f>M695+M696</f>
        <v>397980</v>
      </c>
      <c r="N694" s="49">
        <f>N695+N696</f>
        <v>0</v>
      </c>
      <c r="O694" s="255">
        <f>O695+O696</f>
        <v>966096</v>
      </c>
      <c r="P694" s="224"/>
      <c r="Q694" s="224"/>
    </row>
    <row r="695" spans="7:17" s="96" customFormat="1" ht="78" x14ac:dyDescent="0.25">
      <c r="G695" s="51" t="s">
        <v>3</v>
      </c>
      <c r="H695" s="51"/>
      <c r="I695" s="47"/>
      <c r="J695" s="48">
        <v>100</v>
      </c>
      <c r="K695" s="49">
        <v>743140</v>
      </c>
      <c r="L695" s="49"/>
      <c r="M695" s="238">
        <v>387980</v>
      </c>
      <c r="N695" s="49"/>
      <c r="O695" s="271">
        <f>786984+36201</f>
        <v>823185</v>
      </c>
      <c r="P695" s="224"/>
      <c r="Q695" s="224"/>
    </row>
    <row r="696" spans="7:17" s="96" customFormat="1" ht="31.2" x14ac:dyDescent="0.25">
      <c r="G696" s="51" t="s">
        <v>2</v>
      </c>
      <c r="H696" s="51"/>
      <c r="I696" s="47"/>
      <c r="J696" s="48">
        <v>200</v>
      </c>
      <c r="K696" s="49">
        <v>142912</v>
      </c>
      <c r="L696" s="49"/>
      <c r="M696" s="238">
        <v>10000</v>
      </c>
      <c r="N696" s="49"/>
      <c r="O696" s="271">
        <v>142911</v>
      </c>
      <c r="P696" s="224"/>
      <c r="Q696" s="224"/>
    </row>
    <row r="697" spans="7:17" s="96" customFormat="1" ht="34.799999999999997" customHeight="1" x14ac:dyDescent="0.25">
      <c r="G697" s="51" t="s">
        <v>73</v>
      </c>
      <c r="H697" s="51"/>
      <c r="I697" s="47" t="s">
        <v>316</v>
      </c>
      <c r="J697" s="48" t="s">
        <v>0</v>
      </c>
      <c r="K697" s="49">
        <f>K698+K699</f>
        <v>20679</v>
      </c>
      <c r="L697" s="49"/>
      <c r="M697" s="238">
        <f>M698+M699</f>
        <v>23414</v>
      </c>
      <c r="N697" s="49">
        <f>N698+N699</f>
        <v>0</v>
      </c>
      <c r="O697" s="255">
        <f>O698+O699</f>
        <v>22380</v>
      </c>
      <c r="P697" s="224"/>
      <c r="Q697" s="224"/>
    </row>
    <row r="698" spans="7:17" s="96" customFormat="1" ht="78" x14ac:dyDescent="0.25">
      <c r="G698" s="51" t="s">
        <v>3</v>
      </c>
      <c r="H698" s="51"/>
      <c r="I698" s="47"/>
      <c r="J698" s="48">
        <v>100</v>
      </c>
      <c r="K698" s="49">
        <v>16249</v>
      </c>
      <c r="L698" s="49"/>
      <c r="M698" s="238">
        <v>18580</v>
      </c>
      <c r="N698" s="49"/>
      <c r="O698" s="271">
        <f>19675+905</f>
        <v>20580</v>
      </c>
      <c r="P698" s="224"/>
      <c r="Q698" s="224"/>
    </row>
    <row r="699" spans="7:17" s="96" customFormat="1" ht="31.2" x14ac:dyDescent="0.25">
      <c r="G699" s="51" t="s">
        <v>2</v>
      </c>
      <c r="H699" s="51"/>
      <c r="I699" s="47" t="s">
        <v>0</v>
      </c>
      <c r="J699" s="48">
        <v>200</v>
      </c>
      <c r="K699" s="49">
        <v>4430</v>
      </c>
      <c r="L699" s="49"/>
      <c r="M699" s="238">
        <v>4834</v>
      </c>
      <c r="N699" s="49"/>
      <c r="O699" s="271">
        <v>1800</v>
      </c>
      <c r="P699" s="224"/>
      <c r="Q699" s="224"/>
    </row>
    <row r="700" spans="7:17" ht="31.2" x14ac:dyDescent="0.25">
      <c r="G700" s="121" t="s">
        <v>349</v>
      </c>
      <c r="H700" s="126">
        <v>825</v>
      </c>
      <c r="I700" s="47"/>
      <c r="J700" s="48"/>
      <c r="K700" s="127">
        <f>K701</f>
        <v>25000</v>
      </c>
      <c r="L700" s="49"/>
      <c r="M700" s="239">
        <f>M701</f>
        <v>25000</v>
      </c>
      <c r="N700" s="127">
        <f>N701</f>
        <v>0</v>
      </c>
      <c r="O700" s="255">
        <f>O701</f>
        <v>25000</v>
      </c>
      <c r="P700" s="224"/>
      <c r="Q700" s="224"/>
    </row>
    <row r="701" spans="7:17" x14ac:dyDescent="0.25">
      <c r="G701" s="121" t="s">
        <v>8</v>
      </c>
      <c r="H701" s="121"/>
      <c r="I701" s="60" t="s">
        <v>302</v>
      </c>
      <c r="J701" s="122" t="s">
        <v>0</v>
      </c>
      <c r="K701" s="127">
        <f>K702+K704</f>
        <v>25000</v>
      </c>
      <c r="L701" s="127"/>
      <c r="M701" s="239">
        <f>M702+M704</f>
        <v>25000</v>
      </c>
      <c r="N701" s="127">
        <f>N702+N704</f>
        <v>0</v>
      </c>
      <c r="O701" s="255">
        <f>O702+O704</f>
        <v>25000</v>
      </c>
      <c r="P701" s="224"/>
      <c r="Q701" s="224"/>
    </row>
    <row r="702" spans="7:17" ht="31.2" x14ac:dyDescent="0.25">
      <c r="G702" s="51" t="s">
        <v>70</v>
      </c>
      <c r="H702" s="51"/>
      <c r="I702" s="47" t="s">
        <v>305</v>
      </c>
      <c r="J702" s="48" t="s">
        <v>0</v>
      </c>
      <c r="K702" s="49">
        <f>K703</f>
        <v>5000</v>
      </c>
      <c r="L702" s="49"/>
      <c r="M702" s="238">
        <f>M703</f>
        <v>5000</v>
      </c>
      <c r="N702" s="49">
        <f>N703</f>
        <v>0</v>
      </c>
      <c r="O702" s="255">
        <f>O703</f>
        <v>5000</v>
      </c>
      <c r="P702" s="224"/>
      <c r="Q702" s="224"/>
    </row>
    <row r="703" spans="7:17" ht="78" x14ac:dyDescent="0.25">
      <c r="G703" s="51" t="s">
        <v>3</v>
      </c>
      <c r="H703" s="51"/>
      <c r="I703" s="52"/>
      <c r="J703" s="48">
        <v>100</v>
      </c>
      <c r="K703" s="49">
        <v>5000</v>
      </c>
      <c r="L703" s="49"/>
      <c r="M703" s="238">
        <v>5000</v>
      </c>
      <c r="N703" s="49"/>
      <c r="O703" s="255">
        <v>5000</v>
      </c>
      <c r="P703" s="224"/>
      <c r="Q703" s="224"/>
    </row>
    <row r="704" spans="7:17" ht="31.2" x14ac:dyDescent="0.25">
      <c r="G704" s="51" t="s">
        <v>71</v>
      </c>
      <c r="H704" s="51"/>
      <c r="I704" s="47" t="s">
        <v>306</v>
      </c>
      <c r="J704" s="48"/>
      <c r="K704" s="49">
        <f>K705+K707</f>
        <v>20000</v>
      </c>
      <c r="L704" s="49"/>
      <c r="M704" s="238">
        <f>M705+M707</f>
        <v>20000</v>
      </c>
      <c r="N704" s="49">
        <f>N705+N707</f>
        <v>0</v>
      </c>
      <c r="O704" s="255">
        <f>O705+O707</f>
        <v>20000</v>
      </c>
      <c r="P704" s="224"/>
      <c r="Q704" s="224"/>
    </row>
    <row r="705" spans="7:17" ht="78" x14ac:dyDescent="0.25">
      <c r="G705" s="51" t="s">
        <v>3</v>
      </c>
      <c r="H705" s="51"/>
      <c r="I705" s="52"/>
      <c r="J705" s="48">
        <v>100</v>
      </c>
      <c r="K705" s="49">
        <v>10000</v>
      </c>
      <c r="L705" s="49"/>
      <c r="M705" s="238">
        <v>10000</v>
      </c>
      <c r="N705" s="49"/>
      <c r="O705" s="255">
        <v>10000</v>
      </c>
      <c r="P705" s="224"/>
      <c r="Q705" s="224"/>
    </row>
    <row r="706" spans="7:17" ht="31.2" hidden="1" x14ac:dyDescent="0.25">
      <c r="G706" s="51" t="s">
        <v>2</v>
      </c>
      <c r="H706" s="51"/>
      <c r="I706" s="52"/>
      <c r="J706" s="48">
        <v>200</v>
      </c>
      <c r="K706" s="49">
        <v>0</v>
      </c>
      <c r="L706" s="49"/>
      <c r="M706" s="238">
        <v>0</v>
      </c>
      <c r="N706" s="49"/>
      <c r="O706" s="255"/>
      <c r="P706" s="224"/>
      <c r="Q706" s="224"/>
    </row>
    <row r="707" spans="7:17" ht="31.2" x14ac:dyDescent="0.25">
      <c r="G707" s="51" t="s">
        <v>2</v>
      </c>
      <c r="H707" s="51"/>
      <c r="I707" s="52"/>
      <c r="J707" s="48">
        <v>200</v>
      </c>
      <c r="K707" s="49">
        <v>10000</v>
      </c>
      <c r="L707" s="49"/>
      <c r="M707" s="238">
        <v>10000</v>
      </c>
      <c r="N707" s="49"/>
      <c r="O707" s="255">
        <v>10000</v>
      </c>
      <c r="P707" s="224"/>
      <c r="Q707" s="224"/>
    </row>
    <row r="708" spans="7:17" ht="31.2" x14ac:dyDescent="0.25">
      <c r="G708" s="121" t="s">
        <v>350</v>
      </c>
      <c r="H708" s="126">
        <v>826</v>
      </c>
      <c r="I708" s="52"/>
      <c r="J708" s="48"/>
      <c r="K708" s="127">
        <f>K709</f>
        <v>1122710</v>
      </c>
      <c r="L708" s="49"/>
      <c r="M708" s="239">
        <f>M709</f>
        <v>1122710</v>
      </c>
      <c r="N708" s="127">
        <f>N709</f>
        <v>0</v>
      </c>
      <c r="O708" s="255">
        <f>O709</f>
        <v>893906</v>
      </c>
      <c r="P708" s="224"/>
      <c r="Q708" s="224"/>
    </row>
    <row r="709" spans="7:17" x14ac:dyDescent="0.25">
      <c r="G709" s="121" t="s">
        <v>8</v>
      </c>
      <c r="H709" s="51"/>
      <c r="I709" s="125" t="s">
        <v>302</v>
      </c>
      <c r="J709" s="48"/>
      <c r="K709" s="127">
        <f>K710+K712</f>
        <v>1122710</v>
      </c>
      <c r="L709" s="49">
        <f>L710+L712</f>
        <v>0</v>
      </c>
      <c r="M709" s="239">
        <f>M710+M712</f>
        <v>1122710</v>
      </c>
      <c r="N709" s="127">
        <f>N710+N712</f>
        <v>0</v>
      </c>
      <c r="O709" s="255">
        <f>O710+O712</f>
        <v>893906</v>
      </c>
      <c r="P709" s="224"/>
      <c r="Q709" s="224"/>
    </row>
    <row r="710" spans="7:17" ht="31.2" x14ac:dyDescent="0.25">
      <c r="G710" s="51" t="s">
        <v>735</v>
      </c>
      <c r="H710" s="51"/>
      <c r="I710" s="47" t="s">
        <v>308</v>
      </c>
      <c r="J710" s="48"/>
      <c r="K710" s="49">
        <f>K711</f>
        <v>719005</v>
      </c>
      <c r="L710" s="49">
        <f>L711</f>
        <v>0</v>
      </c>
      <c r="M710" s="238">
        <f>M711</f>
        <v>719005</v>
      </c>
      <c r="N710" s="49">
        <f>N711</f>
        <v>0</v>
      </c>
      <c r="O710" s="255">
        <f>O711</f>
        <v>870906</v>
      </c>
      <c r="P710" s="224"/>
      <c r="Q710" s="224"/>
    </row>
    <row r="711" spans="7:17" ht="78" x14ac:dyDescent="0.25">
      <c r="G711" s="51" t="s">
        <v>3</v>
      </c>
      <c r="H711" s="51"/>
      <c r="I711" s="47" t="s">
        <v>0</v>
      </c>
      <c r="J711" s="48">
        <v>100</v>
      </c>
      <c r="K711" s="49">
        <f>552231+166774</f>
        <v>719005</v>
      </c>
      <c r="L711" s="49"/>
      <c r="M711" s="238">
        <f>L711+K711</f>
        <v>719005</v>
      </c>
      <c r="N711" s="49"/>
      <c r="O711" s="271">
        <f>832588+38318</f>
        <v>870906</v>
      </c>
      <c r="P711" s="224"/>
      <c r="Q711" s="224"/>
    </row>
    <row r="712" spans="7:17" ht="31.2" x14ac:dyDescent="0.25">
      <c r="G712" s="51" t="s">
        <v>734</v>
      </c>
      <c r="H712" s="51"/>
      <c r="I712" s="47" t="s">
        <v>309</v>
      </c>
      <c r="J712" s="48"/>
      <c r="K712" s="49">
        <f>K713+K714+K715</f>
        <v>403705</v>
      </c>
      <c r="L712" s="49">
        <f>L713+L714</f>
        <v>0</v>
      </c>
      <c r="M712" s="238">
        <f>M713+M714+M715</f>
        <v>403705</v>
      </c>
      <c r="N712" s="49">
        <f>N713+N714+N715</f>
        <v>0</v>
      </c>
      <c r="O712" s="255">
        <f>O713+O714+O715</f>
        <v>23000</v>
      </c>
      <c r="P712" s="224"/>
      <c r="Q712" s="224"/>
    </row>
    <row r="713" spans="7:17" ht="78" hidden="1" x14ac:dyDescent="0.25">
      <c r="G713" s="51" t="s">
        <v>3</v>
      </c>
      <c r="H713" s="51"/>
      <c r="I713" s="47"/>
      <c r="J713" s="48">
        <v>100</v>
      </c>
      <c r="K713" s="49">
        <f>89001+294704</f>
        <v>383705</v>
      </c>
      <c r="L713" s="49">
        <v>-9800</v>
      </c>
      <c r="M713" s="238">
        <f>L713+K713</f>
        <v>373905</v>
      </c>
      <c r="N713" s="49"/>
      <c r="O713" s="255"/>
      <c r="P713" s="224"/>
      <c r="Q713" s="224"/>
    </row>
    <row r="714" spans="7:17" ht="31.2" x14ac:dyDescent="0.25">
      <c r="G714" s="51" t="s">
        <v>2</v>
      </c>
      <c r="H714" s="51"/>
      <c r="I714" s="47"/>
      <c r="J714" s="48">
        <v>200</v>
      </c>
      <c r="K714" s="49">
        <v>20000</v>
      </c>
      <c r="L714" s="49">
        <v>9800</v>
      </c>
      <c r="M714" s="238">
        <f>L714+K714</f>
        <v>29800</v>
      </c>
      <c r="N714" s="49"/>
      <c r="O714" s="271">
        <v>23000</v>
      </c>
      <c r="P714" s="224"/>
      <c r="Q714" s="224"/>
    </row>
    <row r="715" spans="7:17" hidden="1" x14ac:dyDescent="0.25">
      <c r="G715" s="51" t="s">
        <v>1</v>
      </c>
      <c r="H715" s="51"/>
      <c r="I715" s="47"/>
      <c r="J715" s="48">
        <v>800</v>
      </c>
      <c r="K715" s="49">
        <v>0</v>
      </c>
      <c r="L715" s="49"/>
      <c r="M715" s="238">
        <v>0</v>
      </c>
      <c r="N715" s="49"/>
      <c r="O715" s="254"/>
      <c r="P715" s="224"/>
      <c r="Q715" s="224"/>
    </row>
    <row r="716" spans="7:17" x14ac:dyDescent="0.3">
      <c r="G716" s="154" t="s">
        <v>61</v>
      </c>
      <c r="H716" s="154"/>
      <c r="I716" s="155"/>
      <c r="J716" s="155"/>
      <c r="K716" s="156">
        <f>K709+K701+K439+K322+K301+K147+K13</f>
        <v>618800057</v>
      </c>
      <c r="L716" s="156">
        <f>L709+L701+L439+L322+L301+L147+L13</f>
        <v>1725822</v>
      </c>
      <c r="M716" s="246">
        <f>M709+M701+M439+M322+M301+M147+M13</f>
        <v>571572565</v>
      </c>
      <c r="N716" s="127">
        <f>N709+N701+N439+N322+N301+N147+N13</f>
        <v>2094450</v>
      </c>
      <c r="O716" s="254">
        <f>O709+O701+O439+O322+O301+O147+O13</f>
        <v>663131724</v>
      </c>
      <c r="P716" s="265"/>
      <c r="Q716" s="265"/>
    </row>
    <row r="717" spans="7:17" x14ac:dyDescent="0.25">
      <c r="G717" s="50"/>
      <c r="H717" s="50"/>
      <c r="I717" s="50"/>
      <c r="J717" s="50"/>
      <c r="K717" s="50"/>
      <c r="L717" s="186"/>
      <c r="M717" s="50"/>
      <c r="N717" s="50"/>
    </row>
    <row r="718" spans="7:17" x14ac:dyDescent="0.25">
      <c r="G718" s="50"/>
      <c r="H718" s="50"/>
      <c r="I718" s="50"/>
      <c r="J718" s="50"/>
      <c r="K718" s="50"/>
      <c r="L718" s="186"/>
      <c r="M718" s="50"/>
      <c r="N718" s="50"/>
    </row>
    <row r="719" spans="7:17" x14ac:dyDescent="0.25">
      <c r="G719" s="50"/>
      <c r="H719" s="109"/>
      <c r="I719" s="50"/>
      <c r="J719" s="50"/>
      <c r="K719" s="50"/>
      <c r="L719" s="186"/>
      <c r="M719" s="50"/>
      <c r="N719" s="50"/>
    </row>
    <row r="720" spans="7:17" x14ac:dyDescent="0.25">
      <c r="G720" s="50"/>
      <c r="H720" s="109"/>
      <c r="I720" s="109"/>
      <c r="J720" s="50"/>
      <c r="K720" s="50"/>
      <c r="L720" s="186"/>
    </row>
    <row r="721" spans="7:14" x14ac:dyDescent="0.25">
      <c r="G721" s="50"/>
      <c r="H721" s="50"/>
      <c r="I721" s="50"/>
      <c r="J721" s="50"/>
      <c r="K721" s="50"/>
      <c r="L721" s="186"/>
    </row>
    <row r="722" spans="7:14" x14ac:dyDescent="0.25">
      <c r="L722" s="187"/>
    </row>
    <row r="723" spans="7:14" x14ac:dyDescent="0.25">
      <c r="J723" s="27"/>
      <c r="K723" s="27"/>
      <c r="L723" s="27"/>
      <c r="M723" s="28"/>
      <c r="N723" s="28"/>
    </row>
    <row r="724" spans="7:14" x14ac:dyDescent="0.25">
      <c r="J724" s="27"/>
      <c r="K724" s="27"/>
      <c r="L724" s="27"/>
      <c r="M724" s="28"/>
      <c r="N724" s="28"/>
    </row>
    <row r="725" spans="7:14" x14ac:dyDescent="0.25">
      <c r="J725" s="27"/>
      <c r="K725" s="27"/>
      <c r="L725" s="27"/>
      <c r="M725" s="28"/>
      <c r="N725" s="28"/>
    </row>
    <row r="726" spans="7:14" x14ac:dyDescent="0.25">
      <c r="J726" s="27"/>
      <c r="K726" s="27"/>
      <c r="L726" s="27"/>
      <c r="M726" s="28"/>
      <c r="N726" s="28"/>
    </row>
    <row r="727" spans="7:14" x14ac:dyDescent="0.25">
      <c r="J727" s="27"/>
      <c r="K727" s="27"/>
      <c r="L727" s="27"/>
      <c r="M727" s="28"/>
      <c r="N727" s="28"/>
    </row>
    <row r="728" spans="7:14" x14ac:dyDescent="0.25">
      <c r="J728" s="27"/>
      <c r="K728" s="27"/>
      <c r="L728" s="27"/>
      <c r="M728" s="28"/>
      <c r="N728" s="28"/>
    </row>
    <row r="729" spans="7:14" x14ac:dyDescent="0.25">
      <c r="J729" s="27"/>
      <c r="K729" s="27"/>
      <c r="L729" s="27"/>
      <c r="M729" s="28"/>
      <c r="N729" s="28"/>
    </row>
    <row r="730" spans="7:14" x14ac:dyDescent="0.25">
      <c r="J730" s="27"/>
      <c r="K730" s="27"/>
      <c r="L730" s="27"/>
      <c r="M730" s="28"/>
      <c r="N730" s="28"/>
    </row>
    <row r="731" spans="7:14" x14ac:dyDescent="0.25">
      <c r="J731" s="27"/>
      <c r="K731" s="27"/>
      <c r="L731" s="27"/>
      <c r="M731" s="28"/>
      <c r="N731" s="28"/>
    </row>
    <row r="732" spans="7:14" x14ac:dyDescent="0.25">
      <c r="J732" s="27"/>
      <c r="K732" s="27"/>
      <c r="L732" s="27"/>
      <c r="M732" s="28"/>
      <c r="N732" s="28"/>
    </row>
    <row r="733" spans="7:14" x14ac:dyDescent="0.25">
      <c r="J733" s="27"/>
      <c r="K733" s="27"/>
      <c r="L733" s="27"/>
      <c r="M733" s="28"/>
      <c r="N733" s="28"/>
    </row>
    <row r="734" spans="7:14" x14ac:dyDescent="0.25">
      <c r="J734" s="27"/>
      <c r="K734" s="27"/>
      <c r="L734" s="27"/>
      <c r="M734" s="28"/>
      <c r="N734" s="28"/>
    </row>
    <row r="735" spans="7:14" x14ac:dyDescent="0.25">
      <c r="J735" s="29"/>
      <c r="K735" s="29"/>
      <c r="L735" s="29"/>
      <c r="M735" s="28"/>
      <c r="N735" s="28"/>
    </row>
    <row r="736" spans="7:14" x14ac:dyDescent="0.25">
      <c r="J736" s="29"/>
      <c r="K736" s="29"/>
      <c r="L736" s="29"/>
      <c r="M736" s="28"/>
      <c r="N736" s="28"/>
    </row>
    <row r="737" spans="10:14" x14ac:dyDescent="0.25">
      <c r="J737" s="29"/>
      <c r="K737" s="29"/>
      <c r="L737" s="29"/>
      <c r="M737" s="28"/>
      <c r="N737" s="28"/>
    </row>
    <row r="738" spans="10:14" x14ac:dyDescent="0.25">
      <c r="J738" s="29"/>
      <c r="K738" s="29"/>
      <c r="L738" s="29"/>
      <c r="M738" s="28"/>
      <c r="N738" s="28"/>
    </row>
    <row r="739" spans="10:14" x14ac:dyDescent="0.25">
      <c r="J739" s="29"/>
      <c r="K739" s="29"/>
      <c r="L739" s="29"/>
      <c r="M739" s="28"/>
      <c r="N739" s="28"/>
    </row>
    <row r="740" spans="10:14" x14ac:dyDescent="0.25">
      <c r="J740" s="29"/>
      <c r="K740" s="29"/>
      <c r="L740" s="29"/>
      <c r="M740" s="28"/>
      <c r="N740" s="28"/>
    </row>
    <row r="741" spans="10:14" x14ac:dyDescent="0.25">
      <c r="J741" s="29"/>
      <c r="K741" s="29"/>
      <c r="L741" s="29"/>
      <c r="M741" s="28"/>
      <c r="N741" s="28"/>
    </row>
    <row r="742" spans="10:14" x14ac:dyDescent="0.25">
      <c r="J742" s="29"/>
      <c r="K742" s="29"/>
      <c r="L742" s="29"/>
      <c r="M742" s="28"/>
      <c r="N742" s="28"/>
    </row>
    <row r="743" spans="10:14" x14ac:dyDescent="0.25">
      <c r="J743" s="29"/>
      <c r="K743" s="29"/>
      <c r="L743" s="29"/>
      <c r="M743" s="28"/>
      <c r="N743" s="28"/>
    </row>
    <row r="744" spans="10:14" x14ac:dyDescent="0.25">
      <c r="J744" s="29"/>
      <c r="K744" s="29"/>
      <c r="L744" s="29"/>
      <c r="M744" s="28"/>
      <c r="N744" s="28"/>
    </row>
    <row r="745" spans="10:14" x14ac:dyDescent="0.25">
      <c r="J745" s="29"/>
      <c r="K745" s="29"/>
      <c r="L745" s="29"/>
      <c r="M745" s="28"/>
      <c r="N745" s="28"/>
    </row>
    <row r="746" spans="10:14" x14ac:dyDescent="0.25">
      <c r="J746" s="29"/>
      <c r="K746" s="29"/>
      <c r="L746" s="29"/>
      <c r="M746" s="28"/>
      <c r="N746" s="28"/>
    </row>
    <row r="747" spans="10:14" x14ac:dyDescent="0.25">
      <c r="J747" s="29"/>
      <c r="K747" s="29"/>
      <c r="L747" s="29"/>
      <c r="M747" s="28"/>
      <c r="N747" s="28"/>
    </row>
    <row r="748" spans="10:14" x14ac:dyDescent="0.25">
      <c r="J748" s="29"/>
      <c r="K748" s="29"/>
      <c r="L748" s="29"/>
      <c r="M748" s="28"/>
      <c r="N748" s="28"/>
    </row>
    <row r="749" spans="10:14" x14ac:dyDescent="0.25">
      <c r="J749" s="29"/>
      <c r="K749" s="29"/>
      <c r="L749" s="29"/>
      <c r="M749" s="28"/>
      <c r="N749" s="28"/>
    </row>
    <row r="750" spans="10:14" x14ac:dyDescent="0.25">
      <c r="J750" s="29"/>
      <c r="K750" s="29"/>
      <c r="L750" s="29"/>
      <c r="M750" s="28"/>
      <c r="N750" s="28"/>
    </row>
    <row r="751" spans="10:14" x14ac:dyDescent="0.25">
      <c r="J751" s="29"/>
      <c r="K751" s="29"/>
      <c r="L751" s="29"/>
      <c r="M751" s="28"/>
      <c r="N751" s="28"/>
    </row>
    <row r="752" spans="10:14" x14ac:dyDescent="0.25">
      <c r="M752" s="28"/>
      <c r="N752" s="28"/>
    </row>
    <row r="753" spans="13:14" x14ac:dyDescent="0.25">
      <c r="M753" s="28"/>
      <c r="N753" s="28"/>
    </row>
  </sheetData>
  <mergeCells count="79">
    <mergeCell ref="I2:O2"/>
    <mergeCell ref="I1:O1"/>
    <mergeCell ref="B434:F434"/>
    <mergeCell ref="I4:O4"/>
    <mergeCell ref="G7:O7"/>
    <mergeCell ref="B320:F320"/>
    <mergeCell ref="B290:F290"/>
    <mergeCell ref="B291:F291"/>
    <mergeCell ref="B318:F318"/>
    <mergeCell ref="B307:F307"/>
    <mergeCell ref="B295:F295"/>
    <mergeCell ref="B52:F52"/>
    <mergeCell ref="B65:F65"/>
    <mergeCell ref="I5:M5"/>
    <mergeCell ref="B161:F161"/>
    <mergeCell ref="B64:F64"/>
    <mergeCell ref="B49:F49"/>
    <mergeCell ref="B518:F518"/>
    <mergeCell ref="B456:F456"/>
    <mergeCell ref="B517:F517"/>
    <mergeCell ref="B457:F457"/>
    <mergeCell ref="B436:F436"/>
    <mergeCell ref="B455:F455"/>
    <mergeCell ref="B443:F443"/>
    <mergeCell ref="B440:F440"/>
    <mergeCell ref="B442:F442"/>
    <mergeCell ref="B441:F441"/>
    <mergeCell ref="B354:F354"/>
    <mergeCell ref="B431:F431"/>
    <mergeCell ref="B340:F340"/>
    <mergeCell ref="B330:F330"/>
    <mergeCell ref="B350:F350"/>
    <mergeCell ref="B356:F356"/>
    <mergeCell ref="B366:F366"/>
    <mergeCell ref="B344:F344"/>
    <mergeCell ref="B155:F155"/>
    <mergeCell ref="B430:F430"/>
    <mergeCell ref="B363:F363"/>
    <mergeCell ref="B365:F365"/>
    <mergeCell ref="B357:F357"/>
    <mergeCell ref="B369:F369"/>
    <mergeCell ref="B403:F403"/>
    <mergeCell ref="B427:F427"/>
    <mergeCell ref="B370:F370"/>
    <mergeCell ref="B310:F310"/>
    <mergeCell ref="B331:F331"/>
    <mergeCell ref="B158:F158"/>
    <mergeCell ref="B309:F309"/>
    <mergeCell ref="B294:F294"/>
    <mergeCell ref="B300:F300"/>
    <mergeCell ref="B301:F301"/>
    <mergeCell ref="B194:F194"/>
    <mergeCell ref="B196:F196"/>
    <mergeCell ref="B195:F195"/>
    <mergeCell ref="B199:F199"/>
    <mergeCell ref="B205:F205"/>
    <mergeCell ref="B308:F308"/>
    <mergeCell ref="B319:F319"/>
    <mergeCell ref="I3:O3"/>
    <mergeCell ref="B293:F293"/>
    <mergeCell ref="B165:F165"/>
    <mergeCell ref="B172:F172"/>
    <mergeCell ref="B189:F189"/>
    <mergeCell ref="B193:F193"/>
    <mergeCell ref="B190:F190"/>
    <mergeCell ref="B173:F173"/>
    <mergeCell ref="B192:F192"/>
    <mergeCell ref="B50:F50"/>
    <mergeCell ref="B67:F67"/>
    <mergeCell ref="B66:F66"/>
    <mergeCell ref="B164:F164"/>
    <mergeCell ref="B75:F75"/>
    <mergeCell ref="B154:F154"/>
    <mergeCell ref="B63:F63"/>
    <mergeCell ref="B53:F53"/>
    <mergeCell ref="B56:F56"/>
    <mergeCell ref="B283:F283"/>
    <mergeCell ref="B275:F275"/>
    <mergeCell ref="B60:F60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9" fitToHeight="21" orientation="portrait" r:id="rId1"/>
  <headerFooter differentFirst="1" scaleWithDoc="0">
    <oddHeader>&amp;P</oddHeader>
  </headerFooter>
  <rowBreaks count="1" manualBreakCount="1">
    <brk id="679" min="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6 </vt:lpstr>
      <vt:lpstr>'Приложение 6 '!Заголовки_для_печати</vt:lpstr>
      <vt:lpstr>'Приложение 6 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2023-05-12T11:26:36Z</cp:lastPrinted>
  <dcterms:created xsi:type="dcterms:W3CDTF">2013-10-18T09:34:20Z</dcterms:created>
  <dcterms:modified xsi:type="dcterms:W3CDTF">2023-05-12T11:26:49Z</dcterms:modified>
</cp:coreProperties>
</file>